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225" windowWidth="12750" windowHeight="10980" activeTab="3"/>
  </bookViews>
  <sheets>
    <sheet name="Instructions" sheetId="9" r:id="rId1"/>
    <sheet name="Character" sheetId="1" r:id="rId2"/>
    <sheet name="Skill Summary" sheetId="11" r:id="rId3"/>
    <sheet name="Spell Casting Summary" sheetId="12" r:id="rId4"/>
    <sheet name="Skills" sheetId="4" r:id="rId5"/>
    <sheet name="Professions" sheetId="5" r:id="rId6"/>
    <sheet name="Races" sheetId="8" r:id="rId7"/>
    <sheet name="Tables" sheetId="6" r:id="rId8"/>
    <sheet name="Talents" sheetId="13" r:id="rId9"/>
  </sheets>
  <definedNames>
    <definedName name="Ag">Character!$M$3</definedName>
    <definedName name="Armor">Tables!$AA$3:$AA$12</definedName>
    <definedName name="AT">Tables!$AB$3:$AB$12</definedName>
    <definedName name="BD">Skills!$G$19</definedName>
    <definedName name="CharName">Instructions!$D$8</definedName>
    <definedName name="Co">Character!$M$4</definedName>
    <definedName name="Combat_Training">Professions!$AD$39:$AX$44</definedName>
    <definedName name="CombatTraining">Tables!$L$4:$M$12</definedName>
    <definedName name="Culture">Instructions!$D$11</definedName>
    <definedName name="CultureList">Races!$AA$4:$AL$4</definedName>
    <definedName name="CultureRanks">Races!$Z$5:$AL$28</definedName>
    <definedName name="DP_Race">Character!$Q$20</definedName>
    <definedName name="DPBonus">Professions!$AD$3:$AX$38</definedName>
    <definedName name="DPCosts">Professions!$C$3:$AA$57</definedName>
    <definedName name="Em">Character!$M$5</definedName>
    <definedName name="Grace">Skills!$G$51</definedName>
    <definedName name="Helm">Tables!$AC$3:$AC$7</definedName>
    <definedName name="In">Character!$M$6</definedName>
    <definedName name="Level">Character!$D$5</definedName>
    <definedName name="Me">Character!$M$7</definedName>
    <definedName name="Name">Instructions!$D$7</definedName>
    <definedName name="OB">Skills!$F$36:$G$43</definedName>
    <definedName name="PBSkills">Professions!$C$60:$Z$112</definedName>
    <definedName name="PPD">Skills!$G$81</definedName>
    <definedName name="Pr">Character!$M$8</definedName>
    <definedName name="_xlnm.Print_Area" localSheetId="1">Character!$B$2:$Q$63</definedName>
    <definedName name="_xlnm.Print_Area" localSheetId="0">Instructions!$B$2:$C$33</definedName>
    <definedName name="_xlnm.Print_Area" localSheetId="6">Races!$B$2:$X$11</definedName>
    <definedName name="_xlnm.Print_Area" localSheetId="2">'Skill Summary'!$B$2:$J$54</definedName>
    <definedName name="_xlnm.Print_Area" localSheetId="4">Skills!$C$2:$T$126</definedName>
    <definedName name="_xlnm.Print_Area" localSheetId="3">'Spell Casting Summary'!$B$2:$M$57</definedName>
    <definedName name="_xlnm.Print_Titles" localSheetId="4">Skills!$3:$3</definedName>
    <definedName name="Prof_Bonus">Professions!$AD$3:$AX$38</definedName>
    <definedName name="Profession">Instructions!$D$10</definedName>
    <definedName name="Professions">Professions!$E$2:$AA$2</definedName>
    <definedName name="Professions2">Professions!$AE$2:$AX$2</definedName>
    <definedName name="Qu">Character!$M$9</definedName>
    <definedName name="Race">Instructions!$D$9</definedName>
    <definedName name="RaceList">Races!$B$5:$B$11</definedName>
    <definedName name="Races">Races!$B$5:$X$11</definedName>
    <definedName name="RacialTalents">Talents!$S$4:$AG$10</definedName>
    <definedName name="RankBonus">Tables!$O$4:$P$104</definedName>
    <definedName name="Re">Character!$M$10</definedName>
    <definedName name="Realm">Character!$B$10</definedName>
    <definedName name="Realmchoice">Instructions!$D$12</definedName>
    <definedName name="RS">Professions!$AI$13</definedName>
    <definedName name="SD">Character!$M$11</definedName>
    <definedName name="Shields">Tables!$AD$3:$AD$7</definedName>
    <definedName name="Spellcasting">Professions!$AD$45:$AX$47</definedName>
    <definedName name="SpellListSummary">'Spell Casting Summary'!$B$5:$E$39</definedName>
    <definedName name="SpellTrickery">Skills!$G$52</definedName>
    <definedName name="St">Character!$M$12</definedName>
    <definedName name="StatBonuses">Tables!$F$4:$G$14</definedName>
    <definedName name="Stats">Tables!$B$4:$D$104</definedName>
    <definedName name="TalentList">Talents!$C$4:$C$134</definedName>
    <definedName name="Talents">Talents!$C$4:$Q$134</definedName>
    <definedName name="Total_IN" comment="Character's total inorganic weight carried">Character!$M$57</definedName>
    <definedName name="Total_ON" comment="Character's total organic non-living weight carried">Character!$L$57</definedName>
    <definedName name="Total_Weight" comment="The characters total equipment weight">Character!$B$57</definedName>
    <definedName name="Transcendence">Skills!$G$53</definedName>
    <definedName name="Weapon">Tables!$AB$17:$AB$47</definedName>
    <definedName name="Weapon_Table">Tables!$AB$16:$AL$47</definedName>
    <definedName name="Weight">Character!$D$15</definedName>
  </definedNames>
  <calcPr calcId="145621"/>
</workbook>
</file>

<file path=xl/calcChain.xml><?xml version="1.0" encoding="utf-8"?>
<calcChain xmlns="http://schemas.openxmlformats.org/spreadsheetml/2006/main">
  <c r="O22" i="12" l="1"/>
  <c r="O21" i="12"/>
  <c r="O20" i="12"/>
  <c r="O19" i="12"/>
  <c r="O18" i="12"/>
  <c r="O17" i="12"/>
  <c r="O16" i="12"/>
  <c r="O15" i="12"/>
  <c r="O14" i="12"/>
  <c r="O13" i="12"/>
  <c r="O12" i="12"/>
  <c r="O11" i="12"/>
  <c r="O10" i="12"/>
  <c r="O9" i="12"/>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31" i="1"/>
  <c r="AO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31" i="1"/>
  <c r="Y32" i="1"/>
  <c r="Y33" i="1"/>
  <c r="Y34" i="1"/>
  <c r="Y35" i="1"/>
  <c r="Y36" i="1"/>
  <c r="Y37" i="1"/>
  <c r="Y38" i="1"/>
  <c r="Y39" i="1"/>
  <c r="Y40" i="1"/>
  <c r="Y41" i="1"/>
  <c r="Y42" i="1"/>
  <c r="Y43" i="1"/>
  <c r="Y44" i="1"/>
  <c r="Y45" i="1"/>
  <c r="Y46" i="1"/>
  <c r="Y47" i="1"/>
  <c r="Y48" i="1"/>
  <c r="Y49" i="1"/>
  <c r="Y50" i="1"/>
  <c r="Y51" i="1"/>
  <c r="Y52" i="1"/>
  <c r="Y53" i="1"/>
  <c r="Y54" i="1"/>
  <c r="Y55" i="1"/>
  <c r="Y56" i="1"/>
  <c r="Y31" i="1"/>
  <c r="I66" i="1"/>
  <c r="I65" i="1"/>
  <c r="K46" i="1"/>
  <c r="B57" i="1"/>
  <c r="AS33" i="1"/>
  <c r="AS34" i="1"/>
  <c r="AS35" i="1"/>
  <c r="AS36" i="1"/>
  <c r="AS37" i="1"/>
  <c r="AS38" i="1"/>
  <c r="AS39" i="1"/>
  <c r="AS40" i="1"/>
  <c r="AS41" i="1"/>
  <c r="AS42" i="1"/>
  <c r="AS43" i="1"/>
  <c r="AS44" i="1"/>
  <c r="AS45" i="1"/>
  <c r="AS46" i="1"/>
  <c r="AS47" i="1"/>
  <c r="AS48" i="1"/>
  <c r="AS49" i="1"/>
  <c r="AS50" i="1"/>
  <c r="AS51" i="1"/>
  <c r="AS52" i="1"/>
  <c r="AS53" i="1"/>
  <c r="AS54" i="1"/>
  <c r="AS55" i="1"/>
  <c r="AS56" i="1"/>
  <c r="B10" i="1"/>
  <c r="I68" i="1" l="1"/>
  <c r="I67" i="1"/>
  <c r="R61" i="1" l="1"/>
  <c r="R57" i="1"/>
  <c r="S57" i="1"/>
  <c r="T57" i="1"/>
  <c r="V57" i="1"/>
  <c r="C2" i="1"/>
  <c r="C4" i="1"/>
  <c r="D6" i="1"/>
  <c r="D7" i="1"/>
  <c r="D8" i="1"/>
  <c r="M51" i="1"/>
  <c r="M52" i="1"/>
  <c r="M53" i="1"/>
  <c r="M54" i="1"/>
  <c r="M55" i="1"/>
  <c r="M56" i="1"/>
  <c r="M32" i="1"/>
  <c r="M33" i="1"/>
  <c r="M34" i="1"/>
  <c r="M35" i="1"/>
  <c r="M36" i="1"/>
  <c r="M37" i="1"/>
  <c r="M38" i="1"/>
  <c r="M39" i="1"/>
  <c r="M40" i="1"/>
  <c r="M41" i="1"/>
  <c r="M42" i="1"/>
  <c r="M43" i="1"/>
  <c r="M44" i="1"/>
  <c r="M45" i="1"/>
  <c r="M46" i="1"/>
  <c r="M47" i="1"/>
  <c r="M48" i="1"/>
  <c r="M49" i="1"/>
  <c r="M50" i="1"/>
  <c r="M31" i="1"/>
  <c r="L32" i="1"/>
  <c r="L33" i="1"/>
  <c r="L34" i="1"/>
  <c r="L35" i="1"/>
  <c r="L36" i="1"/>
  <c r="L37" i="1"/>
  <c r="L38" i="1"/>
  <c r="L39" i="1"/>
  <c r="L40" i="1"/>
  <c r="L41" i="1"/>
  <c r="L42" i="1"/>
  <c r="L43" i="1"/>
  <c r="L44" i="1"/>
  <c r="L45" i="1"/>
  <c r="L46" i="1"/>
  <c r="L47" i="1"/>
  <c r="L48" i="1"/>
  <c r="L49" i="1"/>
  <c r="L50" i="1"/>
  <c r="L51" i="1"/>
  <c r="L52" i="1"/>
  <c r="L53" i="1"/>
  <c r="L54" i="1"/>
  <c r="L55" i="1"/>
  <c r="L56" i="1"/>
  <c r="L31" i="1"/>
  <c r="K52" i="1"/>
  <c r="K53" i="1"/>
  <c r="K54" i="1"/>
  <c r="K55" i="1"/>
  <c r="K56" i="1"/>
  <c r="K32" i="1"/>
  <c r="K33" i="1"/>
  <c r="K34" i="1"/>
  <c r="K35" i="1"/>
  <c r="K36" i="1"/>
  <c r="K37" i="1"/>
  <c r="K38" i="1"/>
  <c r="K39" i="1"/>
  <c r="K40" i="1"/>
  <c r="K41" i="1"/>
  <c r="K42" i="1"/>
  <c r="K43" i="1"/>
  <c r="K44" i="1"/>
  <c r="K45" i="1"/>
  <c r="K47" i="1"/>
  <c r="K48" i="1"/>
  <c r="K49" i="1"/>
  <c r="K50" i="1"/>
  <c r="K51" i="1"/>
  <c r="K31" i="1"/>
  <c r="R23" i="1"/>
  <c r="R24" i="1"/>
  <c r="R25" i="1"/>
  <c r="R26" i="1"/>
  <c r="R27" i="1"/>
  <c r="R28" i="1"/>
  <c r="R22" i="1"/>
  <c r="G23" i="1"/>
  <c r="G24" i="1"/>
  <c r="G25" i="1"/>
  <c r="G26" i="1"/>
  <c r="G27" i="1"/>
  <c r="G28" i="1"/>
  <c r="G22" i="1"/>
  <c r="L57" i="1" l="1"/>
  <c r="R59" i="1"/>
  <c r="M57" i="1"/>
  <c r="I57" i="1"/>
  <c r="Q66" i="1"/>
  <c r="E112" i="5"/>
  <c r="E111" i="5"/>
  <c r="E110" i="5"/>
  <c r="E109" i="5"/>
  <c r="E108" i="5"/>
  <c r="E105" i="5"/>
  <c r="E107" i="5"/>
  <c r="E104" i="5"/>
  <c r="E103" i="5"/>
  <c r="E101" i="5"/>
  <c r="E100" i="5"/>
  <c r="E99" i="5"/>
  <c r="E98" i="5"/>
  <c r="E97" i="5"/>
  <c r="E96" i="5"/>
  <c r="E94" i="5"/>
  <c r="E93" i="5"/>
  <c r="E92" i="5"/>
  <c r="E90" i="5"/>
  <c r="E89" i="5"/>
  <c r="E88" i="5"/>
  <c r="E86" i="5"/>
  <c r="E85" i="5"/>
  <c r="E84" i="5"/>
  <c r="E83" i="5"/>
  <c r="E81" i="5"/>
  <c r="E77" i="5"/>
  <c r="E79" i="5"/>
  <c r="E80" i="5"/>
  <c r="E76" i="5"/>
  <c r="E74" i="5"/>
  <c r="E73" i="5"/>
  <c r="E72" i="5"/>
  <c r="E71" i="5"/>
  <c r="E70" i="5"/>
  <c r="E69" i="5"/>
  <c r="E68" i="5"/>
  <c r="E66" i="5"/>
  <c r="E65" i="5"/>
  <c r="E64" i="5"/>
  <c r="E62" i="5"/>
  <c r="E61" i="5"/>
  <c r="E60" i="5"/>
  <c r="BR134" i="4"/>
  <c r="BS134" i="4"/>
  <c r="BT134" i="4"/>
  <c r="BU134" i="4"/>
  <c r="BV134" i="4"/>
  <c r="BW134" i="4"/>
  <c r="BX134" i="4"/>
  <c r="BY134" i="4"/>
  <c r="BZ134" i="4"/>
  <c r="CA134" i="4"/>
  <c r="CB134" i="4"/>
  <c r="CC134" i="4"/>
  <c r="CD134" i="4"/>
  <c r="CE134" i="4"/>
  <c r="CF134" i="4"/>
  <c r="CG134" i="4"/>
  <c r="CH134" i="4"/>
  <c r="CI134" i="4"/>
  <c r="CJ134" i="4"/>
  <c r="CK134" i="4"/>
  <c r="CL134" i="4"/>
  <c r="CM134" i="4"/>
  <c r="CN134" i="4"/>
  <c r="CO134" i="4"/>
  <c r="CP134" i="4"/>
  <c r="CQ134" i="4"/>
  <c r="CR134" i="4"/>
  <c r="CS134" i="4"/>
  <c r="CT134" i="4"/>
  <c r="CU134" i="4"/>
  <c r="CV134" i="4"/>
  <c r="CW134" i="4"/>
  <c r="CX134" i="4"/>
  <c r="CY134" i="4"/>
  <c r="CZ134" i="4"/>
  <c r="DA134" i="4"/>
  <c r="DB134" i="4"/>
  <c r="DC134" i="4"/>
  <c r="DD134" i="4"/>
  <c r="DE134" i="4"/>
  <c r="DF134" i="4"/>
  <c r="DG134" i="4"/>
  <c r="DH134" i="4"/>
  <c r="DI134" i="4"/>
  <c r="DJ134" i="4"/>
  <c r="DK134" i="4"/>
  <c r="DL134" i="4"/>
  <c r="DM134" i="4"/>
  <c r="DN134" i="4"/>
  <c r="DO134" i="4"/>
  <c r="BR133" i="4"/>
  <c r="BS133" i="4"/>
  <c r="BT133" i="4"/>
  <c r="BU133" i="4"/>
  <c r="BV133" i="4"/>
  <c r="BW133" i="4"/>
  <c r="BX133" i="4"/>
  <c r="BY133" i="4"/>
  <c r="BZ133" i="4"/>
  <c r="CA133" i="4"/>
  <c r="CB133" i="4"/>
  <c r="CC133" i="4"/>
  <c r="CD133" i="4"/>
  <c r="CE133" i="4"/>
  <c r="CF133" i="4"/>
  <c r="CG133" i="4"/>
  <c r="CH133" i="4"/>
  <c r="CI133" i="4"/>
  <c r="CJ133" i="4"/>
  <c r="CK133" i="4"/>
  <c r="CL133" i="4"/>
  <c r="CM133" i="4"/>
  <c r="CN133" i="4"/>
  <c r="CO133" i="4"/>
  <c r="CP133" i="4"/>
  <c r="CQ133" i="4"/>
  <c r="CR133" i="4"/>
  <c r="CS133" i="4"/>
  <c r="CT133" i="4"/>
  <c r="CU133" i="4"/>
  <c r="CV133" i="4"/>
  <c r="CW133" i="4"/>
  <c r="CX133" i="4"/>
  <c r="CY133" i="4"/>
  <c r="CZ133" i="4"/>
  <c r="DA133" i="4"/>
  <c r="DB133" i="4"/>
  <c r="DC133" i="4"/>
  <c r="DD133" i="4"/>
  <c r="DE133" i="4"/>
  <c r="DF133" i="4"/>
  <c r="DG133" i="4"/>
  <c r="DH133" i="4"/>
  <c r="DI133" i="4"/>
  <c r="DJ133" i="4"/>
  <c r="DK133" i="4"/>
  <c r="DL133" i="4"/>
  <c r="DM133" i="4"/>
  <c r="DN133" i="4"/>
  <c r="BR132" i="4"/>
  <c r="BS132" i="4"/>
  <c r="BT132" i="4"/>
  <c r="BU132" i="4"/>
  <c r="BV132" i="4"/>
  <c r="BW132" i="4"/>
  <c r="BX132" i="4"/>
  <c r="BY132" i="4"/>
  <c r="BZ132" i="4"/>
  <c r="CA132" i="4"/>
  <c r="CB132" i="4"/>
  <c r="CC132" i="4"/>
  <c r="CD132" i="4"/>
  <c r="CE132" i="4"/>
  <c r="CF132" i="4"/>
  <c r="CG132" i="4"/>
  <c r="CH132" i="4"/>
  <c r="CI132" i="4"/>
  <c r="CJ132" i="4"/>
  <c r="CK132" i="4"/>
  <c r="CL132" i="4"/>
  <c r="CM132" i="4"/>
  <c r="CN132" i="4"/>
  <c r="CO132" i="4"/>
  <c r="CP132" i="4"/>
  <c r="CQ132" i="4"/>
  <c r="CR132" i="4"/>
  <c r="CS132" i="4"/>
  <c r="CT132" i="4"/>
  <c r="CU132" i="4"/>
  <c r="CV132" i="4"/>
  <c r="CW132" i="4"/>
  <c r="CX132" i="4"/>
  <c r="CY132" i="4"/>
  <c r="CZ132" i="4"/>
  <c r="DA132" i="4"/>
  <c r="DB132" i="4"/>
  <c r="DC132" i="4"/>
  <c r="DD132" i="4"/>
  <c r="DE132" i="4"/>
  <c r="DF132" i="4"/>
  <c r="DG132" i="4"/>
  <c r="DH132" i="4"/>
  <c r="DI132" i="4"/>
  <c r="DJ132" i="4"/>
  <c r="DK132" i="4"/>
  <c r="DL132" i="4"/>
  <c r="DM132" i="4"/>
  <c r="DN132" i="4"/>
  <c r="BR131" i="4"/>
  <c r="BS131" i="4"/>
  <c r="BT131" i="4"/>
  <c r="BU131" i="4"/>
  <c r="BV131" i="4"/>
  <c r="BW131" i="4"/>
  <c r="BX131" i="4"/>
  <c r="BY131" i="4"/>
  <c r="BZ131" i="4"/>
  <c r="CA131" i="4"/>
  <c r="CB131" i="4"/>
  <c r="CC131" i="4"/>
  <c r="CD131" i="4"/>
  <c r="CE131" i="4"/>
  <c r="CF131" i="4"/>
  <c r="CG131" i="4"/>
  <c r="CH131" i="4"/>
  <c r="CI131" i="4"/>
  <c r="CJ131" i="4"/>
  <c r="CK131" i="4"/>
  <c r="CL131" i="4"/>
  <c r="CM131" i="4"/>
  <c r="CN131" i="4"/>
  <c r="CO131" i="4"/>
  <c r="CP131" i="4"/>
  <c r="CQ131" i="4"/>
  <c r="CR131" i="4"/>
  <c r="CS131" i="4"/>
  <c r="CT131" i="4"/>
  <c r="CU131" i="4"/>
  <c r="CV131" i="4"/>
  <c r="CW131" i="4"/>
  <c r="CX131" i="4"/>
  <c r="CY131" i="4"/>
  <c r="CZ131" i="4"/>
  <c r="DA131" i="4"/>
  <c r="DB131" i="4"/>
  <c r="DC131" i="4"/>
  <c r="DD131" i="4"/>
  <c r="DE131" i="4"/>
  <c r="DF131" i="4"/>
  <c r="DG131" i="4"/>
  <c r="DH131" i="4"/>
  <c r="DI131" i="4"/>
  <c r="DJ131" i="4"/>
  <c r="DK131" i="4"/>
  <c r="DL131" i="4"/>
  <c r="DM131" i="4"/>
  <c r="DN131" i="4"/>
  <c r="BR130" i="4"/>
  <c r="BS130" i="4"/>
  <c r="BT130" i="4"/>
  <c r="BU130" i="4"/>
  <c r="BV130" i="4"/>
  <c r="BW130" i="4"/>
  <c r="BX130" i="4"/>
  <c r="BY130" i="4"/>
  <c r="BZ130" i="4"/>
  <c r="CA130" i="4"/>
  <c r="CB130" i="4"/>
  <c r="CC130" i="4"/>
  <c r="CD130" i="4"/>
  <c r="CE130" i="4"/>
  <c r="CF130" i="4"/>
  <c r="CG130" i="4"/>
  <c r="CH130" i="4"/>
  <c r="CI130" i="4"/>
  <c r="CJ130" i="4"/>
  <c r="CK130" i="4"/>
  <c r="CL130" i="4"/>
  <c r="CM130" i="4"/>
  <c r="CN130" i="4"/>
  <c r="CO130" i="4"/>
  <c r="CP130" i="4"/>
  <c r="CQ130" i="4"/>
  <c r="CR130" i="4"/>
  <c r="CS130" i="4"/>
  <c r="CT130" i="4"/>
  <c r="CU130" i="4"/>
  <c r="CV130" i="4"/>
  <c r="CW130" i="4"/>
  <c r="CX130" i="4"/>
  <c r="CY130" i="4"/>
  <c r="CZ130" i="4"/>
  <c r="DA130" i="4"/>
  <c r="DB130" i="4"/>
  <c r="DC130" i="4"/>
  <c r="DD130" i="4"/>
  <c r="DE130" i="4"/>
  <c r="DF130" i="4"/>
  <c r="DG130" i="4"/>
  <c r="DH130" i="4"/>
  <c r="DI130" i="4"/>
  <c r="DJ130" i="4"/>
  <c r="DK130" i="4"/>
  <c r="DL130" i="4"/>
  <c r="DM130" i="4"/>
  <c r="DN130" i="4"/>
  <c r="BQ134" i="4"/>
  <c r="BQ133" i="4"/>
  <c r="BQ132" i="4"/>
  <c r="BQ131" i="4"/>
  <c r="BQ130" i="4"/>
  <c r="BR129" i="4"/>
  <c r="BS129" i="4"/>
  <c r="BU129" i="4"/>
  <c r="BV129" i="4"/>
  <c r="BW129" i="4"/>
  <c r="BX129" i="4"/>
  <c r="BY129" i="4"/>
  <c r="BZ129" i="4"/>
  <c r="CA129" i="4"/>
  <c r="CB129" i="4"/>
  <c r="CC129" i="4"/>
  <c r="CD129" i="4"/>
  <c r="CE129" i="4"/>
  <c r="CF129" i="4"/>
  <c r="CG129" i="4"/>
  <c r="CH129" i="4"/>
  <c r="CI129" i="4"/>
  <c r="CJ129" i="4"/>
  <c r="CK129" i="4"/>
  <c r="CL129" i="4"/>
  <c r="CM129" i="4"/>
  <c r="CN129" i="4"/>
  <c r="CO129" i="4"/>
  <c r="CP129" i="4"/>
  <c r="CQ129" i="4"/>
  <c r="CR129" i="4"/>
  <c r="CS129" i="4"/>
  <c r="CT129" i="4"/>
  <c r="CU129" i="4"/>
  <c r="CV129" i="4"/>
  <c r="CW129" i="4"/>
  <c r="CX129" i="4"/>
  <c r="CY129" i="4"/>
  <c r="CZ129" i="4"/>
  <c r="DA129" i="4"/>
  <c r="DB129" i="4"/>
  <c r="DC129" i="4"/>
  <c r="DD129" i="4"/>
  <c r="DE129" i="4"/>
  <c r="DF129" i="4"/>
  <c r="DG129" i="4"/>
  <c r="DH129" i="4"/>
  <c r="DI129" i="4"/>
  <c r="DJ129" i="4"/>
  <c r="DK129" i="4"/>
  <c r="DL129" i="4"/>
  <c r="DM129" i="4"/>
  <c r="DN129" i="4"/>
  <c r="BQ129" i="4"/>
  <c r="CI128" i="4"/>
  <c r="CJ128" i="4"/>
  <c r="CK128" i="4"/>
  <c r="CL128" i="4"/>
  <c r="CM128" i="4"/>
  <c r="CN128" i="4"/>
  <c r="CO128" i="4"/>
  <c r="CP128" i="4"/>
  <c r="CQ128" i="4"/>
  <c r="CR128" i="4"/>
  <c r="CS128" i="4"/>
  <c r="CT128" i="4"/>
  <c r="CU128" i="4"/>
  <c r="CV128" i="4"/>
  <c r="CW128" i="4"/>
  <c r="CX128" i="4"/>
  <c r="CY128" i="4"/>
  <c r="CZ128" i="4"/>
  <c r="DA128" i="4"/>
  <c r="DB128" i="4"/>
  <c r="DC128" i="4"/>
  <c r="DD128" i="4"/>
  <c r="DE128" i="4"/>
  <c r="DF128" i="4"/>
  <c r="DG128" i="4"/>
  <c r="DH128" i="4"/>
  <c r="DI128" i="4"/>
  <c r="DJ128" i="4"/>
  <c r="DK128" i="4"/>
  <c r="DL128" i="4"/>
  <c r="DM128" i="4"/>
  <c r="DN128" i="4"/>
  <c r="CH128" i="4"/>
  <c r="CG128" i="4"/>
  <c r="CF128" i="4"/>
  <c r="CE128" i="4"/>
  <c r="CD128" i="4"/>
  <c r="CC128" i="4"/>
  <c r="CB128" i="4"/>
  <c r="CA128" i="4"/>
  <c r="BZ128" i="4"/>
  <c r="BY128" i="4"/>
  <c r="BX128" i="4"/>
  <c r="BW128" i="4"/>
  <c r="BV128" i="4"/>
  <c r="BU128" i="4"/>
  <c r="BT128" i="4"/>
  <c r="BS128" i="4"/>
  <c r="BR128" i="4"/>
  <c r="M76" i="4" l="1"/>
  <c r="B6" i="4" l="1"/>
  <c r="B7" i="4"/>
  <c r="B8" i="4"/>
  <c r="B9" i="4"/>
  <c r="B10" i="4"/>
  <c r="B11" i="4"/>
  <c r="B12" i="4"/>
  <c r="B13" i="4"/>
  <c r="B14" i="4"/>
  <c r="B15" i="4"/>
  <c r="B16" i="4"/>
  <c r="B17" i="4"/>
  <c r="B19" i="4"/>
  <c r="B20" i="4"/>
  <c r="B21" i="4"/>
  <c r="B22" i="4"/>
  <c r="B23" i="4"/>
  <c r="B24" i="4"/>
  <c r="B25" i="4"/>
  <c r="B26" i="4"/>
  <c r="B27" i="4"/>
  <c r="B29" i="4"/>
  <c r="B30" i="4"/>
  <c r="B31" i="4"/>
  <c r="B32" i="4"/>
  <c r="B33" i="4"/>
  <c r="B34" i="4"/>
  <c r="B35" i="4"/>
  <c r="B36" i="4"/>
  <c r="B37" i="4"/>
  <c r="B38" i="4"/>
  <c r="B39" i="4"/>
  <c r="B40" i="4"/>
  <c r="B41" i="4"/>
  <c r="B42" i="4"/>
  <c r="B43" i="4"/>
  <c r="B45" i="4"/>
  <c r="B46" i="4"/>
  <c r="B47" i="4"/>
  <c r="B49" i="4"/>
  <c r="B50" i="4"/>
  <c r="B51" i="4"/>
  <c r="B52" i="4"/>
  <c r="B53" i="4"/>
  <c r="B54" i="4"/>
  <c r="B56" i="4"/>
  <c r="B57" i="4"/>
  <c r="B58" i="4"/>
  <c r="B59" i="4"/>
  <c r="B60" i="4"/>
  <c r="B61" i="4"/>
  <c r="B62" i="4"/>
  <c r="B64" i="4"/>
  <c r="B65" i="4"/>
  <c r="B66" i="4"/>
  <c r="B67" i="4"/>
  <c r="B69" i="4"/>
  <c r="B70" i="4"/>
  <c r="B71" i="4"/>
  <c r="B72" i="4"/>
  <c r="B73" i="4"/>
  <c r="B74"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5" i="4"/>
  <c r="B106" i="4"/>
  <c r="B107" i="4"/>
  <c r="B108" i="4"/>
  <c r="B109" i="4"/>
  <c r="B111" i="4"/>
  <c r="B112" i="4"/>
  <c r="B113" i="4"/>
  <c r="B114" i="4"/>
  <c r="B115" i="4"/>
  <c r="B116" i="4"/>
  <c r="B117" i="4"/>
  <c r="B118" i="4"/>
  <c r="B119" i="4"/>
  <c r="B120" i="4"/>
  <c r="B121" i="4"/>
  <c r="B122" i="4"/>
  <c r="B123" i="4"/>
  <c r="B124" i="4"/>
  <c r="B125" i="4"/>
  <c r="B126" i="4"/>
  <c r="B5" i="4"/>
  <c r="Z28" i="8" l="1"/>
  <c r="Z27" i="8"/>
  <c r="P3" i="1"/>
  <c r="H12" i="1"/>
  <c r="C20" i="1"/>
  <c r="H24" i="1" l="1"/>
  <c r="BT129" i="4"/>
  <c r="BQ128" i="4"/>
  <c r="E36" i="4" l="1"/>
  <c r="BN36" i="4" s="1"/>
  <c r="H28" i="1"/>
  <c r="H25" i="1"/>
  <c r="H23" i="1"/>
  <c r="G65" i="1"/>
  <c r="G67" i="1"/>
  <c r="G66" i="1"/>
  <c r="G68" i="1"/>
  <c r="L67" i="1"/>
  <c r="L65" i="1"/>
  <c r="M65" i="1" s="1"/>
  <c r="G69" i="1" l="1"/>
  <c r="I69" i="1"/>
  <c r="B2" i="12"/>
  <c r="B2" i="11"/>
  <c r="E16" i="9"/>
  <c r="D16" i="9"/>
  <c r="O25" i="4"/>
  <c r="O126" i="4"/>
  <c r="O125" i="4"/>
  <c r="O120" i="4"/>
  <c r="O118" i="4"/>
  <c r="O107" i="4"/>
  <c r="O74" i="4"/>
  <c r="O67" i="4"/>
  <c r="O66" i="4"/>
  <c r="O64" i="4"/>
  <c r="O61" i="4"/>
  <c r="O58" i="4"/>
  <c r="O56" i="4"/>
  <c r="O19" i="4"/>
  <c r="O15" i="4"/>
  <c r="O12" i="4"/>
  <c r="O11" i="4"/>
  <c r="O10" i="4"/>
  <c r="N126" i="4"/>
  <c r="M126" i="4"/>
  <c r="N125" i="4"/>
  <c r="M125" i="4"/>
  <c r="N124" i="4"/>
  <c r="M124" i="4"/>
  <c r="N123" i="4"/>
  <c r="M123" i="4"/>
  <c r="N6" i="4"/>
  <c r="N5" i="4"/>
  <c r="K57" i="5"/>
  <c r="J57" i="5"/>
  <c r="I57" i="5"/>
  <c r="H57" i="5"/>
  <c r="G57" i="5"/>
  <c r="F57" i="5"/>
  <c r="E57" i="5"/>
  <c r="M69" i="1" l="1"/>
  <c r="O60" i="1"/>
  <c r="D5" i="1"/>
  <c r="I10" i="1" l="1"/>
  <c r="I3" i="1"/>
  <c r="I6" i="1"/>
  <c r="I7" i="1"/>
  <c r="I5" i="1"/>
  <c r="I8" i="1"/>
  <c r="I9" i="1"/>
  <c r="I11" i="1"/>
  <c r="I4" i="1"/>
  <c r="I12" i="1"/>
  <c r="H27" i="1"/>
  <c r="H26" i="1"/>
  <c r="H22" i="1"/>
  <c r="K17" i="1" l="1"/>
  <c r="N19" i="4" l="1"/>
  <c r="N20" i="4"/>
  <c r="N94" i="4" l="1"/>
  <c r="N96" i="4"/>
  <c r="AL4" i="8" l="1"/>
  <c r="AK4" i="8"/>
  <c r="C40" i="12"/>
  <c r="AA29" i="8"/>
  <c r="P10" i="1" l="1"/>
  <c r="P11" i="1" s="1"/>
  <c r="M46" i="12" l="1"/>
  <c r="J46" i="12"/>
  <c r="E46" i="12"/>
  <c r="BN66" i="4" l="1"/>
  <c r="K60" i="1" l="1"/>
  <c r="P16" i="1"/>
  <c r="J50" i="12" l="1"/>
  <c r="J49" i="12"/>
  <c r="J48" i="12"/>
  <c r="H5" i="4"/>
  <c r="C5" i="11" s="1"/>
  <c r="H6" i="4"/>
  <c r="C6" i="11" s="1"/>
  <c r="H7" i="4"/>
  <c r="C7" i="11" s="1"/>
  <c r="H8" i="4"/>
  <c r="C8" i="11" s="1"/>
  <c r="H9" i="4"/>
  <c r="C9" i="11" s="1"/>
  <c r="H10" i="4"/>
  <c r="C10" i="11" s="1"/>
  <c r="H11" i="4"/>
  <c r="C11" i="11" s="1"/>
  <c r="H12" i="4"/>
  <c r="C12" i="11" s="1"/>
  <c r="H13" i="4"/>
  <c r="C13" i="11" s="1"/>
  <c r="H14" i="4"/>
  <c r="C14" i="11" s="1"/>
  <c r="H15" i="4"/>
  <c r="C15" i="11" s="1"/>
  <c r="H16" i="4"/>
  <c r="C16" i="11" s="1"/>
  <c r="H17" i="4"/>
  <c r="C17" i="11" s="1"/>
  <c r="H19" i="4"/>
  <c r="K19" i="4" s="1"/>
  <c r="H20" i="4"/>
  <c r="K20" i="4" s="1"/>
  <c r="H21" i="4"/>
  <c r="K21" i="4" s="1"/>
  <c r="H22" i="4"/>
  <c r="K22" i="4" s="1"/>
  <c r="H23" i="4"/>
  <c r="K23" i="4" s="1"/>
  <c r="H24" i="4"/>
  <c r="K24" i="4" s="1"/>
  <c r="H25" i="4"/>
  <c r="K25" i="4" s="1"/>
  <c r="H26" i="4"/>
  <c r="K26" i="4" s="1"/>
  <c r="H27" i="4"/>
  <c r="K27" i="4" s="1"/>
  <c r="H29" i="4"/>
  <c r="K29" i="4" s="1"/>
  <c r="H30" i="4"/>
  <c r="K30" i="4" s="1"/>
  <c r="H31" i="4"/>
  <c r="K31" i="4" s="1"/>
  <c r="H32" i="4"/>
  <c r="K32" i="4" s="1"/>
  <c r="H33" i="4"/>
  <c r="K33" i="4" s="1"/>
  <c r="H34" i="4"/>
  <c r="K34" i="4" s="1"/>
  <c r="H35" i="4"/>
  <c r="P17" i="1" s="1"/>
  <c r="H45" i="4"/>
  <c r="K45" i="4" s="1"/>
  <c r="H46" i="4"/>
  <c r="K46" i="4" s="1"/>
  <c r="H47" i="4"/>
  <c r="K47" i="4" s="1"/>
  <c r="H48" i="4"/>
  <c r="H49" i="4"/>
  <c r="K49" i="4" s="1"/>
  <c r="H50" i="4"/>
  <c r="K50" i="4" s="1"/>
  <c r="H51" i="4"/>
  <c r="K51" i="4" s="1"/>
  <c r="H52" i="4"/>
  <c r="K52" i="4" s="1"/>
  <c r="H53" i="4"/>
  <c r="K53" i="4" s="1"/>
  <c r="H54" i="4"/>
  <c r="K54" i="4" s="1"/>
  <c r="H56" i="4"/>
  <c r="K56" i="4" s="1"/>
  <c r="H57" i="4"/>
  <c r="K57" i="4" s="1"/>
  <c r="H58" i="4"/>
  <c r="K58" i="4" s="1"/>
  <c r="H59" i="4"/>
  <c r="K59" i="4" s="1"/>
  <c r="H60" i="4"/>
  <c r="K60" i="4" s="1"/>
  <c r="H61" i="4"/>
  <c r="K61" i="4" s="1"/>
  <c r="H62" i="4"/>
  <c r="K62" i="4" s="1"/>
  <c r="H63" i="4"/>
  <c r="H64" i="4"/>
  <c r="K64" i="4" s="1"/>
  <c r="H65" i="4"/>
  <c r="K65" i="4" s="1"/>
  <c r="H66" i="4"/>
  <c r="K66" i="4" s="1"/>
  <c r="H67" i="4"/>
  <c r="K67" i="4" s="1"/>
  <c r="H69" i="4"/>
  <c r="K69" i="4" s="1"/>
  <c r="H70" i="4"/>
  <c r="K70" i="4" s="1"/>
  <c r="H71" i="4"/>
  <c r="K71" i="4" s="1"/>
  <c r="H72" i="4"/>
  <c r="K72" i="4" s="1"/>
  <c r="H73" i="4"/>
  <c r="K73" i="4" s="1"/>
  <c r="H74" i="4"/>
  <c r="K74" i="4" s="1"/>
  <c r="H76" i="4"/>
  <c r="K76" i="4" s="1"/>
  <c r="H77" i="4"/>
  <c r="K77" i="4" s="1"/>
  <c r="H78" i="4"/>
  <c r="K78" i="4" s="1"/>
  <c r="H79" i="4"/>
  <c r="K79" i="4" s="1"/>
  <c r="H80" i="4"/>
  <c r="K80" i="4" s="1"/>
  <c r="H81" i="4"/>
  <c r="K81" i="4" s="1"/>
  <c r="H82" i="4"/>
  <c r="K82" i="4" s="1"/>
  <c r="H83" i="4"/>
  <c r="K83" i="4" s="1"/>
  <c r="H84" i="4"/>
  <c r="K84" i="4" s="1"/>
  <c r="H85" i="4"/>
  <c r="K85" i="4" s="1"/>
  <c r="H86" i="4"/>
  <c r="K86" i="4" s="1"/>
  <c r="H87" i="4"/>
  <c r="K87" i="4" s="1"/>
  <c r="H88" i="4"/>
  <c r="K88" i="4" s="1"/>
  <c r="H89" i="4"/>
  <c r="K89" i="4" s="1"/>
  <c r="H90" i="4"/>
  <c r="K90" i="4" s="1"/>
  <c r="H91" i="4"/>
  <c r="K91" i="4" s="1"/>
  <c r="H92" i="4"/>
  <c r="K92" i="4" s="1"/>
  <c r="H93" i="4"/>
  <c r="K93" i="4" s="1"/>
  <c r="H94" i="4"/>
  <c r="K94" i="4" s="1"/>
  <c r="H95" i="4"/>
  <c r="K95" i="4" s="1"/>
  <c r="H96" i="4"/>
  <c r="K96" i="4" s="1"/>
  <c r="H97" i="4"/>
  <c r="K97" i="4" s="1"/>
  <c r="H98" i="4"/>
  <c r="K98" i="4" s="1"/>
  <c r="H99" i="4"/>
  <c r="K99" i="4" s="1"/>
  <c r="H100" i="4"/>
  <c r="K100" i="4" s="1"/>
  <c r="H101" i="4"/>
  <c r="K101" i="4" s="1"/>
  <c r="H102" i="4"/>
  <c r="K102" i="4" s="1"/>
  <c r="H103" i="4"/>
  <c r="K103" i="4" s="1"/>
  <c r="H105" i="4"/>
  <c r="K105" i="4" s="1"/>
  <c r="H106" i="4"/>
  <c r="K106" i="4" s="1"/>
  <c r="H107" i="4"/>
  <c r="K107" i="4" s="1"/>
  <c r="H108" i="4"/>
  <c r="K108" i="4" s="1"/>
  <c r="H109" i="4"/>
  <c r="K109" i="4" s="1"/>
  <c r="H111" i="4"/>
  <c r="K111" i="4" s="1"/>
  <c r="H112" i="4"/>
  <c r="K112" i="4" s="1"/>
  <c r="H113" i="4"/>
  <c r="K113" i="4" s="1"/>
  <c r="H114" i="4"/>
  <c r="K114" i="4" s="1"/>
  <c r="H115" i="4"/>
  <c r="K115" i="4" s="1"/>
  <c r="H116" i="4"/>
  <c r="K116" i="4" s="1"/>
  <c r="H117" i="4"/>
  <c r="K117" i="4" s="1"/>
  <c r="H118" i="4"/>
  <c r="K118" i="4" s="1"/>
  <c r="H119" i="4"/>
  <c r="K119" i="4" s="1"/>
  <c r="H120" i="4"/>
  <c r="K120" i="4" s="1"/>
  <c r="H121" i="4"/>
  <c r="K121" i="4" s="1"/>
  <c r="H122" i="4"/>
  <c r="K122" i="4" s="1"/>
  <c r="H123" i="4"/>
  <c r="K123" i="4" s="1"/>
  <c r="H124" i="4"/>
  <c r="K124" i="4" s="1"/>
  <c r="H125" i="4"/>
  <c r="K125" i="4" s="1"/>
  <c r="H126" i="4"/>
  <c r="K126" i="4" s="1"/>
  <c r="K6" i="4" l="1"/>
  <c r="K15" i="4"/>
  <c r="K7" i="4"/>
  <c r="K16" i="4"/>
  <c r="K12" i="4"/>
  <c r="K8" i="4"/>
  <c r="K14" i="4"/>
  <c r="K10" i="4"/>
  <c r="K11" i="4"/>
  <c r="K17" i="4"/>
  <c r="K13" i="4"/>
  <c r="K9" i="4"/>
  <c r="K5" i="4"/>
  <c r="K35" i="4"/>
  <c r="E50" i="12"/>
  <c r="B54" i="12"/>
  <c r="B55" i="12"/>
  <c r="B56" i="12"/>
  <c r="B57" i="12"/>
  <c r="B53" i="12"/>
  <c r="E31" i="11"/>
  <c r="E32" i="11"/>
  <c r="E33" i="11"/>
  <c r="E34" i="11"/>
  <c r="E35" i="11"/>
  <c r="E36" i="11"/>
  <c r="E37" i="11"/>
  <c r="E38" i="11"/>
  <c r="E39" i="11"/>
  <c r="E40" i="11"/>
  <c r="E41" i="11"/>
  <c r="E42" i="11"/>
  <c r="E43" i="11"/>
  <c r="E44" i="11"/>
  <c r="E45" i="11"/>
  <c r="E46" i="11"/>
  <c r="E47" i="11"/>
  <c r="E48" i="11"/>
  <c r="E49" i="11"/>
  <c r="E50" i="11"/>
  <c r="E51" i="11"/>
  <c r="E52" i="11"/>
  <c r="DN76" i="4"/>
  <c r="DM76" i="4"/>
  <c r="DL76" i="4"/>
  <c r="DK76" i="4"/>
  <c r="DJ76" i="4"/>
  <c r="DI76" i="4"/>
  <c r="DH76" i="4"/>
  <c r="DG76" i="4"/>
  <c r="DF76" i="4"/>
  <c r="DE76" i="4"/>
  <c r="DD76" i="4"/>
  <c r="DC76" i="4"/>
  <c r="DB76" i="4"/>
  <c r="DA76" i="4"/>
  <c r="CZ76" i="4"/>
  <c r="CY76" i="4"/>
  <c r="CX76" i="4"/>
  <c r="CW76" i="4"/>
  <c r="CV76" i="4"/>
  <c r="CU76" i="4"/>
  <c r="CT76" i="4"/>
  <c r="CS76" i="4"/>
  <c r="CR76" i="4"/>
  <c r="CQ76" i="4"/>
  <c r="CP76" i="4"/>
  <c r="CO76" i="4"/>
  <c r="CN76" i="4"/>
  <c r="CM76" i="4"/>
  <c r="CL76" i="4"/>
  <c r="CK76" i="4"/>
  <c r="CJ76" i="4"/>
  <c r="CI76" i="4"/>
  <c r="CH76" i="4"/>
  <c r="CG76" i="4"/>
  <c r="CF76" i="4"/>
  <c r="CE76" i="4"/>
  <c r="CD76" i="4"/>
  <c r="CC76" i="4"/>
  <c r="CB76" i="4"/>
  <c r="CA76" i="4"/>
  <c r="BZ76" i="4"/>
  <c r="BY76" i="4"/>
  <c r="BX76" i="4"/>
  <c r="BW76" i="4"/>
  <c r="BV76" i="4"/>
  <c r="BU76" i="4"/>
  <c r="BT76" i="4"/>
  <c r="BS76" i="4"/>
  <c r="BR76" i="4"/>
  <c r="BQ76" i="4"/>
  <c r="N76" i="4"/>
  <c r="BP76" i="4" s="1"/>
  <c r="I76" i="4"/>
  <c r="E76" i="4"/>
  <c r="E25" i="11" s="1"/>
  <c r="DN77" i="4"/>
  <c r="DM77" i="4"/>
  <c r="DL77" i="4"/>
  <c r="DK77" i="4"/>
  <c r="DJ77" i="4"/>
  <c r="DI77" i="4"/>
  <c r="DH77" i="4"/>
  <c r="DG77" i="4"/>
  <c r="DF77" i="4"/>
  <c r="DE77" i="4"/>
  <c r="DD77" i="4"/>
  <c r="DC77" i="4"/>
  <c r="DB77" i="4"/>
  <c r="DA77" i="4"/>
  <c r="CZ77" i="4"/>
  <c r="CY77" i="4"/>
  <c r="CX77" i="4"/>
  <c r="CW77" i="4"/>
  <c r="CV77" i="4"/>
  <c r="CU77" i="4"/>
  <c r="CT77" i="4"/>
  <c r="CS77" i="4"/>
  <c r="CR77" i="4"/>
  <c r="CQ77" i="4"/>
  <c r="CP77" i="4"/>
  <c r="CO77" i="4"/>
  <c r="CN77" i="4"/>
  <c r="CM77" i="4"/>
  <c r="CL77" i="4"/>
  <c r="CK77" i="4"/>
  <c r="CJ77" i="4"/>
  <c r="CI77" i="4"/>
  <c r="CH77" i="4"/>
  <c r="CG77" i="4"/>
  <c r="CF77" i="4"/>
  <c r="CE77" i="4"/>
  <c r="CD77" i="4"/>
  <c r="CC77" i="4"/>
  <c r="CB77" i="4"/>
  <c r="CA77" i="4"/>
  <c r="BZ77" i="4"/>
  <c r="BY77" i="4"/>
  <c r="BX77" i="4"/>
  <c r="BW77" i="4"/>
  <c r="BV77" i="4"/>
  <c r="BU77" i="4"/>
  <c r="BT77" i="4"/>
  <c r="BS77" i="4"/>
  <c r="BR77" i="4"/>
  <c r="BQ77" i="4"/>
  <c r="N77" i="4"/>
  <c r="BP77" i="4" s="1"/>
  <c r="M77" i="4"/>
  <c r="I77" i="4"/>
  <c r="E77" i="4"/>
  <c r="E26" i="11" s="1"/>
  <c r="J10" i="12"/>
  <c r="K10" i="12"/>
  <c r="L10" i="12"/>
  <c r="M10" i="12"/>
  <c r="J11" i="12"/>
  <c r="K11" i="12"/>
  <c r="L11" i="12"/>
  <c r="M11" i="12"/>
  <c r="J12" i="12"/>
  <c r="K12" i="12"/>
  <c r="L12" i="12"/>
  <c r="M12" i="12"/>
  <c r="K13" i="12"/>
  <c r="L13" i="12"/>
  <c r="M13" i="12"/>
  <c r="K14" i="12"/>
  <c r="L14" i="12"/>
  <c r="M14" i="12"/>
  <c r="K15" i="12"/>
  <c r="L15" i="12"/>
  <c r="M15" i="12"/>
  <c r="J9" i="12"/>
  <c r="K9" i="12"/>
  <c r="L9" i="12"/>
  <c r="M9" i="12"/>
  <c r="I9" i="12"/>
  <c r="H10" i="12"/>
  <c r="H11" i="12"/>
  <c r="H12" i="12"/>
  <c r="H13" i="12"/>
  <c r="H14" i="12"/>
  <c r="H15" i="12"/>
  <c r="H9" i="12"/>
  <c r="B6" i="12"/>
  <c r="B7" i="12"/>
  <c r="B8" i="12"/>
  <c r="B9" i="12"/>
  <c r="B10" i="12"/>
  <c r="B11" i="12"/>
  <c r="B12" i="12"/>
  <c r="B13" i="12"/>
  <c r="B14" i="12"/>
  <c r="B15" i="12"/>
  <c r="B16" i="12"/>
  <c r="B17" i="12"/>
  <c r="B18" i="12"/>
  <c r="B19" i="12"/>
  <c r="B20" i="12"/>
  <c r="B21" i="12"/>
  <c r="B22" i="12"/>
  <c r="B23" i="12"/>
  <c r="B24" i="12"/>
  <c r="B25" i="12"/>
  <c r="B26" i="12"/>
  <c r="B5" i="12"/>
  <c r="D54" i="12" l="1"/>
  <c r="D53" i="12"/>
  <c r="F25" i="11"/>
  <c r="F26" i="11"/>
  <c r="BO76" i="4"/>
  <c r="BO77" i="4"/>
  <c r="K2" i="12"/>
  <c r="G15" i="12"/>
  <c r="G16" i="12" s="1"/>
  <c r="G17" i="12" s="1"/>
  <c r="G18" i="12" s="1"/>
  <c r="G19" i="12" s="1"/>
  <c r="G20" i="12" s="1"/>
  <c r="G21" i="12" s="1"/>
  <c r="G22" i="12" l="1"/>
  <c r="G14" i="12"/>
  <c r="G13" i="12" s="1"/>
  <c r="G12" i="12" s="1"/>
  <c r="G11" i="12" s="1"/>
  <c r="G10" i="12" s="1"/>
  <c r="G9" i="12" s="1"/>
  <c r="H10" i="11"/>
  <c r="H4" i="11"/>
  <c r="E12" i="11"/>
  <c r="E17" i="11"/>
  <c r="E24" i="11"/>
  <c r="E4" i="11"/>
  <c r="H2" i="11"/>
  <c r="B18" i="11"/>
  <c r="B28" i="11"/>
  <c r="B44" i="11"/>
  <c r="B48" i="11"/>
  <c r="B54" i="11"/>
  <c r="B4" i="11"/>
  <c r="DN113" i="4"/>
  <c r="DM113" i="4"/>
  <c r="DL113" i="4"/>
  <c r="DK113" i="4"/>
  <c r="DJ113" i="4"/>
  <c r="DI113" i="4"/>
  <c r="DH113" i="4"/>
  <c r="DG113" i="4"/>
  <c r="DF113" i="4"/>
  <c r="DE113" i="4"/>
  <c r="DD113" i="4"/>
  <c r="DC113" i="4"/>
  <c r="DB113" i="4"/>
  <c r="DA113" i="4"/>
  <c r="CZ113" i="4"/>
  <c r="CY113" i="4"/>
  <c r="CX113" i="4"/>
  <c r="CW113" i="4"/>
  <c r="CV113" i="4"/>
  <c r="CU113" i="4"/>
  <c r="CT113" i="4"/>
  <c r="CS113" i="4"/>
  <c r="CR113" i="4"/>
  <c r="CQ113" i="4"/>
  <c r="CP113" i="4"/>
  <c r="CO113" i="4"/>
  <c r="CN113" i="4"/>
  <c r="CM113" i="4"/>
  <c r="CL113" i="4"/>
  <c r="CK113" i="4"/>
  <c r="CJ113" i="4"/>
  <c r="CI113" i="4"/>
  <c r="CH113" i="4"/>
  <c r="CG113" i="4"/>
  <c r="CF113" i="4"/>
  <c r="CE113" i="4"/>
  <c r="CD113" i="4"/>
  <c r="CC113" i="4"/>
  <c r="CB113" i="4"/>
  <c r="CA113" i="4"/>
  <c r="BZ113" i="4"/>
  <c r="BY113" i="4"/>
  <c r="BX113" i="4"/>
  <c r="BW113" i="4"/>
  <c r="BV113" i="4"/>
  <c r="BU113" i="4"/>
  <c r="BT113" i="4"/>
  <c r="BS113" i="4"/>
  <c r="BR113" i="4"/>
  <c r="BQ113" i="4"/>
  <c r="N113" i="4"/>
  <c r="BP113" i="4" s="1"/>
  <c r="M113" i="4"/>
  <c r="E113" i="4"/>
  <c r="H13" i="11" s="1"/>
  <c r="DN105" i="4"/>
  <c r="DM105" i="4"/>
  <c r="DL105" i="4"/>
  <c r="DK105" i="4"/>
  <c r="DJ105" i="4"/>
  <c r="DI105" i="4"/>
  <c r="DH105" i="4"/>
  <c r="DG105" i="4"/>
  <c r="DF105" i="4"/>
  <c r="DE105" i="4"/>
  <c r="DD105" i="4"/>
  <c r="DC105" i="4"/>
  <c r="DB105" i="4"/>
  <c r="DA105" i="4"/>
  <c r="CZ105" i="4"/>
  <c r="CY105" i="4"/>
  <c r="CX105" i="4"/>
  <c r="CW105" i="4"/>
  <c r="CV105" i="4"/>
  <c r="CU105" i="4"/>
  <c r="CT105" i="4"/>
  <c r="CS105" i="4"/>
  <c r="CR105" i="4"/>
  <c r="CQ105" i="4"/>
  <c r="CP105" i="4"/>
  <c r="CO105" i="4"/>
  <c r="CN105" i="4"/>
  <c r="CM105" i="4"/>
  <c r="CL105" i="4"/>
  <c r="CK105" i="4"/>
  <c r="CJ105" i="4"/>
  <c r="CI105" i="4"/>
  <c r="CH105" i="4"/>
  <c r="CG105" i="4"/>
  <c r="CF105" i="4"/>
  <c r="CE105" i="4"/>
  <c r="CD105" i="4"/>
  <c r="CC105" i="4"/>
  <c r="CB105" i="4"/>
  <c r="CA105" i="4"/>
  <c r="BZ105" i="4"/>
  <c r="BY105" i="4"/>
  <c r="BX105" i="4"/>
  <c r="BW105" i="4"/>
  <c r="BV105" i="4"/>
  <c r="BU105" i="4"/>
  <c r="BT105" i="4"/>
  <c r="BS105" i="4"/>
  <c r="BR105" i="4"/>
  <c r="BQ105" i="4"/>
  <c r="N105" i="4"/>
  <c r="BP105" i="4" s="1"/>
  <c r="M105" i="4"/>
  <c r="E105" i="4"/>
  <c r="H5" i="11" s="1"/>
  <c r="DN101" i="4"/>
  <c r="DM101" i="4"/>
  <c r="DL101" i="4"/>
  <c r="DK101" i="4"/>
  <c r="DJ101" i="4"/>
  <c r="DI101" i="4"/>
  <c r="DH101" i="4"/>
  <c r="DG101" i="4"/>
  <c r="DF101" i="4"/>
  <c r="DE101" i="4"/>
  <c r="DD101" i="4"/>
  <c r="DC101" i="4"/>
  <c r="DB101" i="4"/>
  <c r="DA101" i="4"/>
  <c r="CZ101" i="4"/>
  <c r="CY101" i="4"/>
  <c r="CX101" i="4"/>
  <c r="CW101" i="4"/>
  <c r="CV101" i="4"/>
  <c r="CU101" i="4"/>
  <c r="CT101" i="4"/>
  <c r="CS101" i="4"/>
  <c r="CR101" i="4"/>
  <c r="CQ101" i="4"/>
  <c r="CP101" i="4"/>
  <c r="CO101" i="4"/>
  <c r="CN101" i="4"/>
  <c r="CM101" i="4"/>
  <c r="CL101" i="4"/>
  <c r="CK101" i="4"/>
  <c r="CJ101" i="4"/>
  <c r="CI101" i="4"/>
  <c r="CH101" i="4"/>
  <c r="CG101" i="4"/>
  <c r="CF101" i="4"/>
  <c r="CE101" i="4"/>
  <c r="CD101" i="4"/>
  <c r="CC101" i="4"/>
  <c r="CB101" i="4"/>
  <c r="CA101" i="4"/>
  <c r="BZ101" i="4"/>
  <c r="BY101" i="4"/>
  <c r="BX101" i="4"/>
  <c r="BW101" i="4"/>
  <c r="BV101" i="4"/>
  <c r="BU101" i="4"/>
  <c r="BT101" i="4"/>
  <c r="BS101" i="4"/>
  <c r="BR101" i="4"/>
  <c r="BQ101" i="4"/>
  <c r="N101" i="4"/>
  <c r="BP101" i="4" s="1"/>
  <c r="M101" i="4"/>
  <c r="F50" i="11"/>
  <c r="DN92" i="4"/>
  <c r="DM92" i="4"/>
  <c r="DL92" i="4"/>
  <c r="DK92" i="4"/>
  <c r="DJ92" i="4"/>
  <c r="DI92" i="4"/>
  <c r="DH92" i="4"/>
  <c r="DG92" i="4"/>
  <c r="DF92" i="4"/>
  <c r="DE92" i="4"/>
  <c r="DD92" i="4"/>
  <c r="DC92" i="4"/>
  <c r="DB92" i="4"/>
  <c r="DA92" i="4"/>
  <c r="CZ92" i="4"/>
  <c r="CY92" i="4"/>
  <c r="CX92" i="4"/>
  <c r="CW92" i="4"/>
  <c r="CV92" i="4"/>
  <c r="CU92" i="4"/>
  <c r="CT92" i="4"/>
  <c r="CS92" i="4"/>
  <c r="CR92" i="4"/>
  <c r="CQ92" i="4"/>
  <c r="CP92" i="4"/>
  <c r="CO92" i="4"/>
  <c r="CN92" i="4"/>
  <c r="CM92" i="4"/>
  <c r="CL92" i="4"/>
  <c r="CK92" i="4"/>
  <c r="CJ92" i="4"/>
  <c r="CI92" i="4"/>
  <c r="CH92" i="4"/>
  <c r="CG92" i="4"/>
  <c r="CF92" i="4"/>
  <c r="CE92" i="4"/>
  <c r="CD92" i="4"/>
  <c r="CC92" i="4"/>
  <c r="CB92" i="4"/>
  <c r="CA92" i="4"/>
  <c r="BZ92" i="4"/>
  <c r="BY92" i="4"/>
  <c r="BX92" i="4"/>
  <c r="BW92" i="4"/>
  <c r="BV92" i="4"/>
  <c r="BU92" i="4"/>
  <c r="BT92" i="4"/>
  <c r="BS92" i="4"/>
  <c r="BR92" i="4"/>
  <c r="N92" i="4"/>
  <c r="BP92" i="4" s="1"/>
  <c r="M92" i="4"/>
  <c r="F41" i="11"/>
  <c r="DN93" i="4"/>
  <c r="DM93" i="4"/>
  <c r="DL93" i="4"/>
  <c r="DK93" i="4"/>
  <c r="DJ93" i="4"/>
  <c r="DI93" i="4"/>
  <c r="DH93" i="4"/>
  <c r="DG93" i="4"/>
  <c r="DF93" i="4"/>
  <c r="DE93" i="4"/>
  <c r="DD93" i="4"/>
  <c r="DC93" i="4"/>
  <c r="DB93" i="4"/>
  <c r="DA93" i="4"/>
  <c r="CZ93" i="4"/>
  <c r="CY93" i="4"/>
  <c r="CX93" i="4"/>
  <c r="CW93" i="4"/>
  <c r="CV93" i="4"/>
  <c r="CU93" i="4"/>
  <c r="CT93" i="4"/>
  <c r="CS93" i="4"/>
  <c r="CR93" i="4"/>
  <c r="CQ93" i="4"/>
  <c r="CP93" i="4"/>
  <c r="CO93" i="4"/>
  <c r="CN93" i="4"/>
  <c r="CM93" i="4"/>
  <c r="CL93" i="4"/>
  <c r="CK93" i="4"/>
  <c r="CJ93" i="4"/>
  <c r="CI93" i="4"/>
  <c r="CH93" i="4"/>
  <c r="CG93" i="4"/>
  <c r="CF93" i="4"/>
  <c r="CE93" i="4"/>
  <c r="CD93" i="4"/>
  <c r="CC93" i="4"/>
  <c r="CB93" i="4"/>
  <c r="CA93" i="4"/>
  <c r="BZ93" i="4"/>
  <c r="BY93" i="4"/>
  <c r="BX93" i="4"/>
  <c r="BW93" i="4"/>
  <c r="BV93" i="4"/>
  <c r="BU93" i="4"/>
  <c r="BT93" i="4"/>
  <c r="BS93" i="4"/>
  <c r="BR93" i="4"/>
  <c r="BQ93" i="4"/>
  <c r="N93" i="4"/>
  <c r="BP93" i="4" s="1"/>
  <c r="M93" i="4"/>
  <c r="F42" i="11"/>
  <c r="DN78" i="4"/>
  <c r="DM78" i="4"/>
  <c r="DL78" i="4"/>
  <c r="DK78" i="4"/>
  <c r="DJ78" i="4"/>
  <c r="DI78" i="4"/>
  <c r="DH78" i="4"/>
  <c r="DG78" i="4"/>
  <c r="DF78" i="4"/>
  <c r="DE78" i="4"/>
  <c r="DD78" i="4"/>
  <c r="DC78" i="4"/>
  <c r="DB78" i="4"/>
  <c r="DA78" i="4"/>
  <c r="CZ78" i="4"/>
  <c r="CY78" i="4"/>
  <c r="CX78" i="4"/>
  <c r="CW78" i="4"/>
  <c r="CV78" i="4"/>
  <c r="CU78" i="4"/>
  <c r="CT78" i="4"/>
  <c r="CS78" i="4"/>
  <c r="CR78" i="4"/>
  <c r="CQ78" i="4"/>
  <c r="CP78" i="4"/>
  <c r="CO78" i="4"/>
  <c r="CN78" i="4"/>
  <c r="CM78" i="4"/>
  <c r="CL78" i="4"/>
  <c r="CK78" i="4"/>
  <c r="CJ78" i="4"/>
  <c r="CI78" i="4"/>
  <c r="CH78" i="4"/>
  <c r="CG78" i="4"/>
  <c r="CF78" i="4"/>
  <c r="CE78" i="4"/>
  <c r="CD78" i="4"/>
  <c r="CC78" i="4"/>
  <c r="CB78" i="4"/>
  <c r="CA78" i="4"/>
  <c r="BZ78" i="4"/>
  <c r="BY78" i="4"/>
  <c r="BX78" i="4"/>
  <c r="BW78" i="4"/>
  <c r="BV78" i="4"/>
  <c r="BU78" i="4"/>
  <c r="BT78" i="4"/>
  <c r="BS78" i="4"/>
  <c r="BR78" i="4"/>
  <c r="BQ78" i="4"/>
  <c r="N78" i="4"/>
  <c r="BP78" i="4" s="1"/>
  <c r="M78" i="4"/>
  <c r="D55" i="12"/>
  <c r="E78" i="4"/>
  <c r="E27" i="11" s="1"/>
  <c r="DN79" i="4"/>
  <c r="DM79" i="4"/>
  <c r="DL79" i="4"/>
  <c r="DK79" i="4"/>
  <c r="DJ79" i="4"/>
  <c r="DI79" i="4"/>
  <c r="DH79" i="4"/>
  <c r="DG79" i="4"/>
  <c r="DF79" i="4"/>
  <c r="DE79" i="4"/>
  <c r="DD79" i="4"/>
  <c r="DC79" i="4"/>
  <c r="DB79" i="4"/>
  <c r="DA79" i="4"/>
  <c r="CZ79" i="4"/>
  <c r="CY79" i="4"/>
  <c r="CX79" i="4"/>
  <c r="CW79" i="4"/>
  <c r="CV79" i="4"/>
  <c r="CU79" i="4"/>
  <c r="CT79" i="4"/>
  <c r="CS79" i="4"/>
  <c r="CR79" i="4"/>
  <c r="CQ79" i="4"/>
  <c r="CP79" i="4"/>
  <c r="CO79" i="4"/>
  <c r="CN79" i="4"/>
  <c r="CM79" i="4"/>
  <c r="CL79" i="4"/>
  <c r="CK79" i="4"/>
  <c r="CJ79" i="4"/>
  <c r="CI79" i="4"/>
  <c r="CH79" i="4"/>
  <c r="CG79" i="4"/>
  <c r="CF79" i="4"/>
  <c r="CE79" i="4"/>
  <c r="CD79" i="4"/>
  <c r="CC79" i="4"/>
  <c r="CB79" i="4"/>
  <c r="CA79" i="4"/>
  <c r="BZ79" i="4"/>
  <c r="BY79" i="4"/>
  <c r="BX79" i="4"/>
  <c r="BW79" i="4"/>
  <c r="BV79" i="4"/>
  <c r="BU79" i="4"/>
  <c r="BT79" i="4"/>
  <c r="BS79" i="4"/>
  <c r="BR79" i="4"/>
  <c r="BQ79" i="4"/>
  <c r="N79" i="4"/>
  <c r="BP79" i="4" s="1"/>
  <c r="M79" i="4"/>
  <c r="E79" i="4"/>
  <c r="E28" i="11" s="1"/>
  <c r="DN71" i="4"/>
  <c r="DM71" i="4"/>
  <c r="DL71" i="4"/>
  <c r="DK71" i="4"/>
  <c r="DJ71" i="4"/>
  <c r="DI71" i="4"/>
  <c r="DH71" i="4"/>
  <c r="DG71" i="4"/>
  <c r="DF71" i="4"/>
  <c r="DE71" i="4"/>
  <c r="DD71" i="4"/>
  <c r="DC71" i="4"/>
  <c r="DB71" i="4"/>
  <c r="DA71" i="4"/>
  <c r="CZ71" i="4"/>
  <c r="CY71" i="4"/>
  <c r="CX71" i="4"/>
  <c r="CW71" i="4"/>
  <c r="CV71" i="4"/>
  <c r="CU71" i="4"/>
  <c r="CT71" i="4"/>
  <c r="CS71" i="4"/>
  <c r="CR71" i="4"/>
  <c r="CQ71" i="4"/>
  <c r="CP71" i="4"/>
  <c r="CO71" i="4"/>
  <c r="CN71" i="4"/>
  <c r="CM71" i="4"/>
  <c r="CL71" i="4"/>
  <c r="CK71" i="4"/>
  <c r="CJ71" i="4"/>
  <c r="CI71" i="4"/>
  <c r="CH71" i="4"/>
  <c r="CG71" i="4"/>
  <c r="CF71" i="4"/>
  <c r="CE71" i="4"/>
  <c r="CD71" i="4"/>
  <c r="CC71" i="4"/>
  <c r="CB71" i="4"/>
  <c r="CA71" i="4"/>
  <c r="BZ71" i="4"/>
  <c r="BY71" i="4"/>
  <c r="BX71" i="4"/>
  <c r="BW71" i="4"/>
  <c r="BV71" i="4"/>
  <c r="BU71" i="4"/>
  <c r="BT71" i="4"/>
  <c r="BS71" i="4"/>
  <c r="BQ71" i="4"/>
  <c r="N71" i="4"/>
  <c r="BP71" i="4" s="1"/>
  <c r="M71" i="4"/>
  <c r="I71" i="4"/>
  <c r="E71" i="4"/>
  <c r="E20" i="11" s="1"/>
  <c r="DN64" i="4"/>
  <c r="DM64" i="4"/>
  <c r="DL64" i="4"/>
  <c r="DK64" i="4"/>
  <c r="DJ64" i="4"/>
  <c r="DI64" i="4"/>
  <c r="DH64" i="4"/>
  <c r="DG64" i="4"/>
  <c r="DF64" i="4"/>
  <c r="DE64" i="4"/>
  <c r="DD64" i="4"/>
  <c r="DC64" i="4"/>
  <c r="DB64" i="4"/>
  <c r="DA64" i="4"/>
  <c r="CZ64" i="4"/>
  <c r="CY64" i="4"/>
  <c r="CX64" i="4"/>
  <c r="CW64" i="4"/>
  <c r="CV64" i="4"/>
  <c r="CU64" i="4"/>
  <c r="CT64" i="4"/>
  <c r="CS64" i="4"/>
  <c r="CR64" i="4"/>
  <c r="CQ64" i="4"/>
  <c r="CP64" i="4"/>
  <c r="CO64" i="4"/>
  <c r="CN64" i="4"/>
  <c r="CM64" i="4"/>
  <c r="CL64" i="4"/>
  <c r="CK64" i="4"/>
  <c r="CJ64" i="4"/>
  <c r="CI64" i="4"/>
  <c r="CH64" i="4"/>
  <c r="CG64" i="4"/>
  <c r="CF64" i="4"/>
  <c r="CE64" i="4"/>
  <c r="CD64" i="4"/>
  <c r="CC64" i="4"/>
  <c r="CB64" i="4"/>
  <c r="CA64" i="4"/>
  <c r="BZ64" i="4"/>
  <c r="BY64" i="4"/>
  <c r="BX64" i="4"/>
  <c r="BW64" i="4"/>
  <c r="BV64" i="4"/>
  <c r="BU64" i="4"/>
  <c r="BT64" i="4"/>
  <c r="BS64" i="4"/>
  <c r="BR64" i="4"/>
  <c r="BQ64" i="4"/>
  <c r="N64" i="4"/>
  <c r="BP64" i="4" s="1"/>
  <c r="M64" i="4"/>
  <c r="I64" i="4"/>
  <c r="E64" i="4"/>
  <c r="E13" i="11" s="1"/>
  <c r="DN56" i="4"/>
  <c r="DM56" i="4"/>
  <c r="DL56" i="4"/>
  <c r="DK56" i="4"/>
  <c r="DJ56" i="4"/>
  <c r="DI56" i="4"/>
  <c r="DH56" i="4"/>
  <c r="DG56" i="4"/>
  <c r="DF56" i="4"/>
  <c r="DE56" i="4"/>
  <c r="DD56" i="4"/>
  <c r="DC56" i="4"/>
  <c r="DB56" i="4"/>
  <c r="DA56" i="4"/>
  <c r="CZ56" i="4"/>
  <c r="CY56" i="4"/>
  <c r="CX56" i="4"/>
  <c r="CW56" i="4"/>
  <c r="CV56" i="4"/>
  <c r="CU56" i="4"/>
  <c r="CT56" i="4"/>
  <c r="CS56" i="4"/>
  <c r="CR56" i="4"/>
  <c r="CQ56" i="4"/>
  <c r="CP56" i="4"/>
  <c r="CO56" i="4"/>
  <c r="CN56" i="4"/>
  <c r="CM56" i="4"/>
  <c r="CL56" i="4"/>
  <c r="CK56" i="4"/>
  <c r="CJ56" i="4"/>
  <c r="CI56" i="4"/>
  <c r="CH56" i="4"/>
  <c r="CG56" i="4"/>
  <c r="CF56" i="4"/>
  <c r="CE56" i="4"/>
  <c r="CD56" i="4"/>
  <c r="CC56" i="4"/>
  <c r="CB56" i="4"/>
  <c r="CA56" i="4"/>
  <c r="BZ56" i="4"/>
  <c r="BY56" i="4"/>
  <c r="BX56" i="4"/>
  <c r="BW56" i="4"/>
  <c r="BV56" i="4"/>
  <c r="BU56" i="4"/>
  <c r="BT56" i="4"/>
  <c r="BS56" i="4"/>
  <c r="BR56" i="4"/>
  <c r="BQ56" i="4"/>
  <c r="N56" i="4"/>
  <c r="BP56" i="4" s="1"/>
  <c r="M56" i="4"/>
  <c r="I56" i="4"/>
  <c r="E56" i="4"/>
  <c r="E5" i="11" s="1"/>
  <c r="DN58" i="4"/>
  <c r="DM58" i="4"/>
  <c r="DL58" i="4"/>
  <c r="DK58" i="4"/>
  <c r="DJ58" i="4"/>
  <c r="DI58" i="4"/>
  <c r="DH58" i="4"/>
  <c r="DG58" i="4"/>
  <c r="DF58" i="4"/>
  <c r="DE58" i="4"/>
  <c r="DD58" i="4"/>
  <c r="DC58" i="4"/>
  <c r="DB58" i="4"/>
  <c r="DA58" i="4"/>
  <c r="CZ58" i="4"/>
  <c r="CY58" i="4"/>
  <c r="CX58" i="4"/>
  <c r="CW58" i="4"/>
  <c r="CV58" i="4"/>
  <c r="CU58" i="4"/>
  <c r="CT58" i="4"/>
  <c r="CS58" i="4"/>
  <c r="CR58" i="4"/>
  <c r="CQ58" i="4"/>
  <c r="CP58" i="4"/>
  <c r="CO58" i="4"/>
  <c r="CN58" i="4"/>
  <c r="CM58" i="4"/>
  <c r="CL58" i="4"/>
  <c r="CK58" i="4"/>
  <c r="CJ58" i="4"/>
  <c r="CI58" i="4"/>
  <c r="CH58" i="4"/>
  <c r="CG58" i="4"/>
  <c r="CF58" i="4"/>
  <c r="CE58" i="4"/>
  <c r="CD58" i="4"/>
  <c r="CC58" i="4"/>
  <c r="CB58" i="4"/>
  <c r="CA58" i="4"/>
  <c r="BZ58" i="4"/>
  <c r="BY58" i="4"/>
  <c r="BX58" i="4"/>
  <c r="BW58" i="4"/>
  <c r="BV58" i="4"/>
  <c r="BU58" i="4"/>
  <c r="BT58" i="4"/>
  <c r="BR58" i="4"/>
  <c r="N58" i="4"/>
  <c r="BP58" i="4" s="1"/>
  <c r="M58" i="4"/>
  <c r="E58" i="4"/>
  <c r="E7" i="11" s="1"/>
  <c r="DN30" i="4"/>
  <c r="DM30" i="4"/>
  <c r="DL30" i="4"/>
  <c r="DK30" i="4"/>
  <c r="DJ30" i="4"/>
  <c r="DI30" i="4"/>
  <c r="DH30" i="4"/>
  <c r="DG30" i="4"/>
  <c r="DF30" i="4"/>
  <c r="DE30" i="4"/>
  <c r="DD30" i="4"/>
  <c r="DC30" i="4"/>
  <c r="DB30" i="4"/>
  <c r="DA30" i="4"/>
  <c r="CZ30" i="4"/>
  <c r="CY30" i="4"/>
  <c r="CX30" i="4"/>
  <c r="CW30" i="4"/>
  <c r="CV30" i="4"/>
  <c r="CU30" i="4"/>
  <c r="CT30" i="4"/>
  <c r="CS30" i="4"/>
  <c r="CR30" i="4"/>
  <c r="CQ30" i="4"/>
  <c r="CP30" i="4"/>
  <c r="CO30" i="4"/>
  <c r="CN30" i="4"/>
  <c r="CM30" i="4"/>
  <c r="CL30" i="4"/>
  <c r="CK30" i="4"/>
  <c r="CJ30" i="4"/>
  <c r="CI30" i="4"/>
  <c r="CH30" i="4"/>
  <c r="CG30" i="4"/>
  <c r="CF30" i="4"/>
  <c r="CE30" i="4"/>
  <c r="CD30" i="4"/>
  <c r="CC30" i="4"/>
  <c r="CB30" i="4"/>
  <c r="CA30" i="4"/>
  <c r="BZ30" i="4"/>
  <c r="BY30" i="4"/>
  <c r="BX30" i="4"/>
  <c r="BW30" i="4"/>
  <c r="BV30" i="4"/>
  <c r="BU30" i="4"/>
  <c r="N30" i="4"/>
  <c r="BP30" i="4" s="1"/>
  <c r="M30" i="4"/>
  <c r="J30" i="4" s="1"/>
  <c r="E30" i="4"/>
  <c r="B30" i="11" s="1"/>
  <c r="DN31" i="4"/>
  <c r="DM31" i="4"/>
  <c r="DL31" i="4"/>
  <c r="DK31" i="4"/>
  <c r="DJ31" i="4"/>
  <c r="DI31" i="4"/>
  <c r="DH31" i="4"/>
  <c r="DG31" i="4"/>
  <c r="DF31" i="4"/>
  <c r="DE31" i="4"/>
  <c r="DD31" i="4"/>
  <c r="DC31" i="4"/>
  <c r="DB31" i="4"/>
  <c r="DA31" i="4"/>
  <c r="CZ31" i="4"/>
  <c r="CY31" i="4"/>
  <c r="CX31" i="4"/>
  <c r="CW31" i="4"/>
  <c r="CV31" i="4"/>
  <c r="CU31" i="4"/>
  <c r="CT31" i="4"/>
  <c r="CS31" i="4"/>
  <c r="CR31" i="4"/>
  <c r="CQ31" i="4"/>
  <c r="CP31" i="4"/>
  <c r="CO31" i="4"/>
  <c r="CN31" i="4"/>
  <c r="CM31" i="4"/>
  <c r="CL31" i="4"/>
  <c r="CK31" i="4"/>
  <c r="CJ31" i="4"/>
  <c r="CI31" i="4"/>
  <c r="CH31" i="4"/>
  <c r="CG31" i="4"/>
  <c r="CF31" i="4"/>
  <c r="CE31" i="4"/>
  <c r="CD31" i="4"/>
  <c r="CC31" i="4"/>
  <c r="CB31" i="4"/>
  <c r="CA31" i="4"/>
  <c r="BZ31" i="4"/>
  <c r="BY31" i="4"/>
  <c r="BX31" i="4"/>
  <c r="BW31" i="4"/>
  <c r="BV31" i="4"/>
  <c r="BU31" i="4"/>
  <c r="N31" i="4"/>
  <c r="BP31" i="4" s="1"/>
  <c r="M31" i="4"/>
  <c r="J31" i="4" s="1"/>
  <c r="E31" i="4"/>
  <c r="B31" i="11" s="1"/>
  <c r="DN22" i="4"/>
  <c r="DM22" i="4"/>
  <c r="DL22" i="4"/>
  <c r="DK22" i="4"/>
  <c r="DJ22" i="4"/>
  <c r="DI22" i="4"/>
  <c r="DH22" i="4"/>
  <c r="DG22" i="4"/>
  <c r="DF22" i="4"/>
  <c r="DE22" i="4"/>
  <c r="DD22" i="4"/>
  <c r="DC22" i="4"/>
  <c r="DB22" i="4"/>
  <c r="DA22" i="4"/>
  <c r="CZ22" i="4"/>
  <c r="CY22" i="4"/>
  <c r="CX22" i="4"/>
  <c r="CW22" i="4"/>
  <c r="CV22" i="4"/>
  <c r="CU22" i="4"/>
  <c r="CT22" i="4"/>
  <c r="CS22" i="4"/>
  <c r="CR22" i="4"/>
  <c r="CQ22" i="4"/>
  <c r="CP22" i="4"/>
  <c r="CO22" i="4"/>
  <c r="CN22" i="4"/>
  <c r="CM22" i="4"/>
  <c r="CL22" i="4"/>
  <c r="CK22" i="4"/>
  <c r="CJ22" i="4"/>
  <c r="CI22" i="4"/>
  <c r="CH22" i="4"/>
  <c r="CG22" i="4"/>
  <c r="CF22" i="4"/>
  <c r="CE22" i="4"/>
  <c r="CD22" i="4"/>
  <c r="CC22" i="4"/>
  <c r="CB22" i="4"/>
  <c r="CA22" i="4"/>
  <c r="BZ22" i="4"/>
  <c r="BY22" i="4"/>
  <c r="BX22" i="4"/>
  <c r="BW22" i="4"/>
  <c r="BV22" i="4"/>
  <c r="BU22" i="4"/>
  <c r="BT22" i="4"/>
  <c r="BS22" i="4"/>
  <c r="BR22" i="4"/>
  <c r="BQ22" i="4"/>
  <c r="N22" i="4"/>
  <c r="BP22" i="4" s="1"/>
  <c r="M22" i="4"/>
  <c r="I22" i="4"/>
  <c r="E22" i="4"/>
  <c r="B22" i="11" s="1"/>
  <c r="DN15" i="4"/>
  <c r="DM15" i="4"/>
  <c r="DL15" i="4"/>
  <c r="DK15" i="4"/>
  <c r="DJ15" i="4"/>
  <c r="DI15" i="4"/>
  <c r="DH15" i="4"/>
  <c r="DG15" i="4"/>
  <c r="DF15" i="4"/>
  <c r="DE15" i="4"/>
  <c r="DD15" i="4"/>
  <c r="DC15" i="4"/>
  <c r="DB15" i="4"/>
  <c r="DA15" i="4"/>
  <c r="CZ15" i="4"/>
  <c r="CY15" i="4"/>
  <c r="CX15" i="4"/>
  <c r="CW15" i="4"/>
  <c r="CV15" i="4"/>
  <c r="CU15" i="4"/>
  <c r="CT15" i="4"/>
  <c r="CS15" i="4"/>
  <c r="CR15" i="4"/>
  <c r="CQ15" i="4"/>
  <c r="CP15" i="4"/>
  <c r="CO15" i="4"/>
  <c r="CN15" i="4"/>
  <c r="CM15" i="4"/>
  <c r="CL15" i="4"/>
  <c r="CK15" i="4"/>
  <c r="CJ15" i="4"/>
  <c r="CI15" i="4"/>
  <c r="CH15" i="4"/>
  <c r="CG15" i="4"/>
  <c r="CF15" i="4"/>
  <c r="CE15" i="4"/>
  <c r="CD15" i="4"/>
  <c r="CC15" i="4"/>
  <c r="CB15" i="4"/>
  <c r="CA15" i="4"/>
  <c r="BZ15" i="4"/>
  <c r="BY15" i="4"/>
  <c r="BX15" i="4"/>
  <c r="BW15" i="4"/>
  <c r="BV15" i="4"/>
  <c r="BU15" i="4"/>
  <c r="BT15" i="4"/>
  <c r="BS15" i="4"/>
  <c r="BR15" i="4"/>
  <c r="BQ15" i="4"/>
  <c r="N15" i="4"/>
  <c r="BP15" i="4" s="1"/>
  <c r="M15" i="4"/>
  <c r="E15" i="4"/>
  <c r="B15" i="11" s="1"/>
  <c r="DN12" i="4"/>
  <c r="DM12" i="4"/>
  <c r="DL12" i="4"/>
  <c r="DK12" i="4"/>
  <c r="DJ12" i="4"/>
  <c r="DI12" i="4"/>
  <c r="DH12" i="4"/>
  <c r="DG12" i="4"/>
  <c r="DF12" i="4"/>
  <c r="DE12" i="4"/>
  <c r="DD12" i="4"/>
  <c r="DC12" i="4"/>
  <c r="DB12" i="4"/>
  <c r="DA12" i="4"/>
  <c r="CZ12" i="4"/>
  <c r="CY12" i="4"/>
  <c r="CX12" i="4"/>
  <c r="CW12" i="4"/>
  <c r="CV12" i="4"/>
  <c r="CU12" i="4"/>
  <c r="CT12" i="4"/>
  <c r="CS12" i="4"/>
  <c r="CR12" i="4"/>
  <c r="CQ12" i="4"/>
  <c r="CP12" i="4"/>
  <c r="CO12" i="4"/>
  <c r="CN12" i="4"/>
  <c r="CM12" i="4"/>
  <c r="CL12" i="4"/>
  <c r="CK12" i="4"/>
  <c r="CJ12" i="4"/>
  <c r="CI12" i="4"/>
  <c r="CH12" i="4"/>
  <c r="CG12" i="4"/>
  <c r="CF12" i="4"/>
  <c r="CE12" i="4"/>
  <c r="CD12" i="4"/>
  <c r="CC12" i="4"/>
  <c r="CB12" i="4"/>
  <c r="CA12" i="4"/>
  <c r="BZ12" i="4"/>
  <c r="BY12" i="4"/>
  <c r="BX12" i="4"/>
  <c r="BW12" i="4"/>
  <c r="BV12" i="4"/>
  <c r="BU12" i="4"/>
  <c r="BT12" i="4"/>
  <c r="BS12" i="4"/>
  <c r="BR12" i="4"/>
  <c r="BQ12" i="4"/>
  <c r="N12" i="4"/>
  <c r="BP12" i="4" s="1"/>
  <c r="M12" i="4"/>
  <c r="I12" i="4"/>
  <c r="E12" i="4"/>
  <c r="B12" i="11" s="1"/>
  <c r="DN11" i="4"/>
  <c r="DM11" i="4"/>
  <c r="DL11" i="4"/>
  <c r="DK11" i="4"/>
  <c r="DJ11" i="4"/>
  <c r="DI11" i="4"/>
  <c r="DH11" i="4"/>
  <c r="DG11" i="4"/>
  <c r="DF11" i="4"/>
  <c r="DE11" i="4"/>
  <c r="DD11" i="4"/>
  <c r="DC11" i="4"/>
  <c r="DB11" i="4"/>
  <c r="DA11" i="4"/>
  <c r="CZ11" i="4"/>
  <c r="CY11" i="4"/>
  <c r="CX11" i="4"/>
  <c r="CW11" i="4"/>
  <c r="CV11" i="4"/>
  <c r="CU11" i="4"/>
  <c r="CT11" i="4"/>
  <c r="CS11" i="4"/>
  <c r="CR11" i="4"/>
  <c r="CQ11" i="4"/>
  <c r="CP11" i="4"/>
  <c r="CO11" i="4"/>
  <c r="CN11" i="4"/>
  <c r="CM11" i="4"/>
  <c r="CL11" i="4"/>
  <c r="CK11" i="4"/>
  <c r="CJ11" i="4"/>
  <c r="CI11" i="4"/>
  <c r="CH11" i="4"/>
  <c r="CG11" i="4"/>
  <c r="CF11" i="4"/>
  <c r="CE11" i="4"/>
  <c r="CD11" i="4"/>
  <c r="CC11" i="4"/>
  <c r="CB11" i="4"/>
  <c r="CA11" i="4"/>
  <c r="BZ11" i="4"/>
  <c r="BY11" i="4"/>
  <c r="BX11" i="4"/>
  <c r="BW11" i="4"/>
  <c r="BV11" i="4"/>
  <c r="BU11" i="4"/>
  <c r="BT11" i="4"/>
  <c r="BS11" i="4"/>
  <c r="BR11" i="4"/>
  <c r="N11" i="4"/>
  <c r="BP11" i="4" s="1"/>
  <c r="M11" i="4"/>
  <c r="E11" i="4"/>
  <c r="B11" i="11" s="1"/>
  <c r="F28" i="11" l="1"/>
  <c r="D56" i="12"/>
  <c r="I78" i="4"/>
  <c r="F27" i="11"/>
  <c r="I79" i="4"/>
  <c r="C16" i="12"/>
  <c r="C24" i="12"/>
  <c r="C15" i="12"/>
  <c r="I92" i="4"/>
  <c r="I113" i="4"/>
  <c r="I93" i="4"/>
  <c r="I105" i="4"/>
  <c r="I101" i="4"/>
  <c r="I13" i="11"/>
  <c r="I5" i="11"/>
  <c r="F7" i="11"/>
  <c r="F20" i="11"/>
  <c r="F13" i="11"/>
  <c r="F5" i="11"/>
  <c r="C30" i="11"/>
  <c r="C22" i="11"/>
  <c r="C31" i="11"/>
  <c r="BO113" i="4"/>
  <c r="BO105" i="4"/>
  <c r="BO101" i="4"/>
  <c r="BO64" i="4"/>
  <c r="BO92" i="4"/>
  <c r="BQ92" i="4" s="1"/>
  <c r="BO93" i="4"/>
  <c r="BO78" i="4"/>
  <c r="BO79" i="4"/>
  <c r="BO71" i="4"/>
  <c r="BR71" i="4" s="1"/>
  <c r="BO56" i="4"/>
  <c r="BO58" i="4"/>
  <c r="BO15" i="4"/>
  <c r="BO30" i="4"/>
  <c r="BO31" i="4"/>
  <c r="BO22" i="4"/>
  <c r="BO12" i="4"/>
  <c r="BO11" i="4"/>
  <c r="BQ11" i="4" s="1"/>
  <c r="BS30" i="4" l="1"/>
  <c r="BT30" i="4"/>
  <c r="BS31" i="4"/>
  <c r="BT31" i="4"/>
  <c r="BS58" i="4"/>
  <c r="BQ58" i="4"/>
  <c r="BR31" i="4"/>
  <c r="BQ31" i="4"/>
  <c r="BQ30" i="4"/>
  <c r="BR30" i="4"/>
  <c r="CQ5" i="4"/>
  <c r="CR5" i="4"/>
  <c r="CS5" i="4"/>
  <c r="CT5" i="4"/>
  <c r="CU5" i="4"/>
  <c r="CV5" i="4"/>
  <c r="CW5" i="4"/>
  <c r="CX5" i="4"/>
  <c r="CY5" i="4"/>
  <c r="CZ5" i="4"/>
  <c r="DA5" i="4"/>
  <c r="DB5" i="4"/>
  <c r="DC5" i="4"/>
  <c r="DD5" i="4"/>
  <c r="DE5" i="4"/>
  <c r="DF5" i="4"/>
  <c r="DG5" i="4"/>
  <c r="DH5" i="4"/>
  <c r="DI5" i="4"/>
  <c r="DJ5" i="4"/>
  <c r="DK5" i="4"/>
  <c r="DL5" i="4"/>
  <c r="DM5" i="4"/>
  <c r="DN5" i="4"/>
  <c r="CQ6" i="4"/>
  <c r="CR6" i="4"/>
  <c r="CS6" i="4"/>
  <c r="CT6" i="4"/>
  <c r="CU6" i="4"/>
  <c r="CV6" i="4"/>
  <c r="CW6" i="4"/>
  <c r="CX6" i="4"/>
  <c r="CY6" i="4"/>
  <c r="CZ6" i="4"/>
  <c r="DA6" i="4"/>
  <c r="DB6" i="4"/>
  <c r="DC6" i="4"/>
  <c r="DD6" i="4"/>
  <c r="DE6" i="4"/>
  <c r="DF6" i="4"/>
  <c r="DG6" i="4"/>
  <c r="DH6" i="4"/>
  <c r="DI6" i="4"/>
  <c r="DJ6" i="4"/>
  <c r="DK6" i="4"/>
  <c r="DL6" i="4"/>
  <c r="DM6" i="4"/>
  <c r="DN6" i="4"/>
  <c r="CQ7" i="4"/>
  <c r="CR7" i="4"/>
  <c r="CS7" i="4"/>
  <c r="CT7" i="4"/>
  <c r="CU7" i="4"/>
  <c r="CV7" i="4"/>
  <c r="CW7" i="4"/>
  <c r="CX7" i="4"/>
  <c r="CY7" i="4"/>
  <c r="CZ7" i="4"/>
  <c r="DA7" i="4"/>
  <c r="DB7" i="4"/>
  <c r="DC7" i="4"/>
  <c r="DD7" i="4"/>
  <c r="DE7" i="4"/>
  <c r="DF7" i="4"/>
  <c r="DG7" i="4"/>
  <c r="DH7" i="4"/>
  <c r="DI7" i="4"/>
  <c r="DJ7" i="4"/>
  <c r="DK7" i="4"/>
  <c r="DL7" i="4"/>
  <c r="DM7" i="4"/>
  <c r="CQ8" i="4"/>
  <c r="CR8" i="4"/>
  <c r="CS8" i="4"/>
  <c r="CT8" i="4"/>
  <c r="CU8" i="4"/>
  <c r="CV8" i="4"/>
  <c r="CW8" i="4"/>
  <c r="CX8" i="4"/>
  <c r="CY8" i="4"/>
  <c r="CZ8" i="4"/>
  <c r="DA8" i="4"/>
  <c r="DB8" i="4"/>
  <c r="DC8" i="4"/>
  <c r="DD8" i="4"/>
  <c r="DE8" i="4"/>
  <c r="DF8" i="4"/>
  <c r="DG8" i="4"/>
  <c r="DH8" i="4"/>
  <c r="DI8" i="4"/>
  <c r="DJ8" i="4"/>
  <c r="DK8" i="4"/>
  <c r="DL8" i="4"/>
  <c r="DM8" i="4"/>
  <c r="DN8" i="4"/>
  <c r="CQ9" i="4"/>
  <c r="CR9" i="4"/>
  <c r="CS9" i="4"/>
  <c r="CT9" i="4"/>
  <c r="CU9" i="4"/>
  <c r="CV9" i="4"/>
  <c r="CW9" i="4"/>
  <c r="CX9" i="4"/>
  <c r="CY9" i="4"/>
  <c r="CZ9" i="4"/>
  <c r="DA9" i="4"/>
  <c r="DB9" i="4"/>
  <c r="DC9" i="4"/>
  <c r="DD9" i="4"/>
  <c r="DE9" i="4"/>
  <c r="DF9" i="4"/>
  <c r="DG9" i="4"/>
  <c r="DH9" i="4"/>
  <c r="DI9" i="4"/>
  <c r="DJ9" i="4"/>
  <c r="DK9" i="4"/>
  <c r="DL9" i="4"/>
  <c r="DM9" i="4"/>
  <c r="DN9" i="4"/>
  <c r="CQ10" i="4"/>
  <c r="CR10" i="4"/>
  <c r="CS10" i="4"/>
  <c r="CT10" i="4"/>
  <c r="CU10" i="4"/>
  <c r="CV10" i="4"/>
  <c r="CW10" i="4"/>
  <c r="CX10" i="4"/>
  <c r="CY10" i="4"/>
  <c r="CZ10" i="4"/>
  <c r="DA10" i="4"/>
  <c r="DB10" i="4"/>
  <c r="DC10" i="4"/>
  <c r="DD10" i="4"/>
  <c r="DE10" i="4"/>
  <c r="DF10" i="4"/>
  <c r="DG10" i="4"/>
  <c r="DH10" i="4"/>
  <c r="DI10" i="4"/>
  <c r="DJ10" i="4"/>
  <c r="DK10" i="4"/>
  <c r="DL10" i="4"/>
  <c r="DM10" i="4"/>
  <c r="DN10" i="4"/>
  <c r="CQ13" i="4"/>
  <c r="CR13" i="4"/>
  <c r="CS13" i="4"/>
  <c r="CT13" i="4"/>
  <c r="CU13" i="4"/>
  <c r="CV13" i="4"/>
  <c r="CW13" i="4"/>
  <c r="CX13" i="4"/>
  <c r="CY13" i="4"/>
  <c r="CZ13" i="4"/>
  <c r="DA13" i="4"/>
  <c r="DB13" i="4"/>
  <c r="DC13" i="4"/>
  <c r="DD13" i="4"/>
  <c r="DE13" i="4"/>
  <c r="DF13" i="4"/>
  <c r="DG13" i="4"/>
  <c r="DH13" i="4"/>
  <c r="DI13" i="4"/>
  <c r="DJ13" i="4"/>
  <c r="DK13" i="4"/>
  <c r="DL13" i="4"/>
  <c r="DM13" i="4"/>
  <c r="DN13" i="4"/>
  <c r="CQ14" i="4"/>
  <c r="CR14" i="4"/>
  <c r="CS14" i="4"/>
  <c r="CT14" i="4"/>
  <c r="CU14" i="4"/>
  <c r="CV14" i="4"/>
  <c r="CW14" i="4"/>
  <c r="CX14" i="4"/>
  <c r="CY14" i="4"/>
  <c r="CZ14" i="4"/>
  <c r="DA14" i="4"/>
  <c r="DB14" i="4"/>
  <c r="DC14" i="4"/>
  <c r="DD14" i="4"/>
  <c r="DE14" i="4"/>
  <c r="DF14" i="4"/>
  <c r="DG14" i="4"/>
  <c r="DH14" i="4"/>
  <c r="DI14" i="4"/>
  <c r="DJ14" i="4"/>
  <c r="DK14" i="4"/>
  <c r="DL14" i="4"/>
  <c r="DM14" i="4"/>
  <c r="DN14" i="4"/>
  <c r="CQ16" i="4"/>
  <c r="CR16" i="4"/>
  <c r="CS16" i="4"/>
  <c r="CT16" i="4"/>
  <c r="CU16" i="4"/>
  <c r="CV16" i="4"/>
  <c r="CW16" i="4"/>
  <c r="CX16" i="4"/>
  <c r="CY16" i="4"/>
  <c r="CZ16" i="4"/>
  <c r="DA16" i="4"/>
  <c r="DB16" i="4"/>
  <c r="DC16" i="4"/>
  <c r="DD16" i="4"/>
  <c r="DE16" i="4"/>
  <c r="DF16" i="4"/>
  <c r="DG16" i="4"/>
  <c r="DH16" i="4"/>
  <c r="DI16" i="4"/>
  <c r="DJ16" i="4"/>
  <c r="DK16" i="4"/>
  <c r="DL16" i="4"/>
  <c r="DM16" i="4"/>
  <c r="DN16" i="4"/>
  <c r="CQ17" i="4"/>
  <c r="CR17" i="4"/>
  <c r="CS17" i="4"/>
  <c r="CT17" i="4"/>
  <c r="CU17" i="4"/>
  <c r="CV17" i="4"/>
  <c r="CW17" i="4"/>
  <c r="CX17" i="4"/>
  <c r="CY17" i="4"/>
  <c r="CZ17" i="4"/>
  <c r="DA17" i="4"/>
  <c r="DB17" i="4"/>
  <c r="DC17" i="4"/>
  <c r="DD17" i="4"/>
  <c r="DE17" i="4"/>
  <c r="DF17" i="4"/>
  <c r="DG17" i="4"/>
  <c r="DH17" i="4"/>
  <c r="DI17" i="4"/>
  <c r="DJ17" i="4"/>
  <c r="DK17" i="4"/>
  <c r="DL17" i="4"/>
  <c r="DM17" i="4"/>
  <c r="DN17" i="4"/>
  <c r="CQ19" i="4"/>
  <c r="CR19" i="4"/>
  <c r="CS19" i="4"/>
  <c r="CT19" i="4"/>
  <c r="CU19" i="4"/>
  <c r="CV19" i="4"/>
  <c r="CW19" i="4"/>
  <c r="CX19" i="4"/>
  <c r="CY19" i="4"/>
  <c r="CZ19" i="4"/>
  <c r="DA19" i="4"/>
  <c r="DB19" i="4"/>
  <c r="DC19" i="4"/>
  <c r="DD19" i="4"/>
  <c r="DE19" i="4"/>
  <c r="DF19" i="4"/>
  <c r="DG19" i="4"/>
  <c r="DH19" i="4"/>
  <c r="DI19" i="4"/>
  <c r="DJ19" i="4"/>
  <c r="DK19" i="4"/>
  <c r="DL19" i="4"/>
  <c r="DM19" i="4"/>
  <c r="DN19" i="4"/>
  <c r="CQ20" i="4"/>
  <c r="CR20" i="4"/>
  <c r="CS20" i="4"/>
  <c r="CT20" i="4"/>
  <c r="CU20" i="4"/>
  <c r="CV20" i="4"/>
  <c r="CW20" i="4"/>
  <c r="CX20" i="4"/>
  <c r="CY20" i="4"/>
  <c r="CZ20" i="4"/>
  <c r="DA20" i="4"/>
  <c r="DB20" i="4"/>
  <c r="DC20" i="4"/>
  <c r="DD20" i="4"/>
  <c r="DE20" i="4"/>
  <c r="DF20" i="4"/>
  <c r="DG20" i="4"/>
  <c r="DH20" i="4"/>
  <c r="DI20" i="4"/>
  <c r="DJ20" i="4"/>
  <c r="DK20" i="4"/>
  <c r="DL20" i="4"/>
  <c r="DM20" i="4"/>
  <c r="DN20" i="4"/>
  <c r="CQ21" i="4"/>
  <c r="CR21" i="4"/>
  <c r="CS21" i="4"/>
  <c r="CT21" i="4"/>
  <c r="CU21" i="4"/>
  <c r="CV21" i="4"/>
  <c r="CW21" i="4"/>
  <c r="CX21" i="4"/>
  <c r="CY21" i="4"/>
  <c r="CZ21" i="4"/>
  <c r="DA21" i="4"/>
  <c r="DB21" i="4"/>
  <c r="DC21" i="4"/>
  <c r="DD21" i="4"/>
  <c r="DE21" i="4"/>
  <c r="DF21" i="4"/>
  <c r="DG21" i="4"/>
  <c r="DH21" i="4"/>
  <c r="DI21" i="4"/>
  <c r="DJ21" i="4"/>
  <c r="DK21" i="4"/>
  <c r="DL21" i="4"/>
  <c r="DM21" i="4"/>
  <c r="DN21" i="4"/>
  <c r="CQ23" i="4"/>
  <c r="CR23" i="4"/>
  <c r="CS23" i="4"/>
  <c r="CT23" i="4"/>
  <c r="CU23" i="4"/>
  <c r="CV23" i="4"/>
  <c r="CW23" i="4"/>
  <c r="CX23" i="4"/>
  <c r="CY23" i="4"/>
  <c r="CZ23" i="4"/>
  <c r="DA23" i="4"/>
  <c r="DB23" i="4"/>
  <c r="DC23" i="4"/>
  <c r="DD23" i="4"/>
  <c r="DE23" i="4"/>
  <c r="DF23" i="4"/>
  <c r="DG23" i="4"/>
  <c r="DH23" i="4"/>
  <c r="DI23" i="4"/>
  <c r="DJ23" i="4"/>
  <c r="DK23" i="4"/>
  <c r="DL23" i="4"/>
  <c r="DM23" i="4"/>
  <c r="DN23" i="4"/>
  <c r="CQ24" i="4"/>
  <c r="CR24" i="4"/>
  <c r="CS24" i="4"/>
  <c r="CT24" i="4"/>
  <c r="CU24" i="4"/>
  <c r="CV24" i="4"/>
  <c r="CW24" i="4"/>
  <c r="CX24" i="4"/>
  <c r="CY24" i="4"/>
  <c r="CZ24" i="4"/>
  <c r="DA24" i="4"/>
  <c r="DB24" i="4"/>
  <c r="DC24" i="4"/>
  <c r="DD24" i="4"/>
  <c r="DE24" i="4"/>
  <c r="DF24" i="4"/>
  <c r="DG24" i="4"/>
  <c r="DH24" i="4"/>
  <c r="DI24" i="4"/>
  <c r="DJ24" i="4"/>
  <c r="DK24" i="4"/>
  <c r="DL24" i="4"/>
  <c r="DM24" i="4"/>
  <c r="DN24" i="4"/>
  <c r="CQ25" i="4"/>
  <c r="CR25" i="4"/>
  <c r="CS25" i="4"/>
  <c r="CT25" i="4"/>
  <c r="CU25" i="4"/>
  <c r="CV25" i="4"/>
  <c r="CW25" i="4"/>
  <c r="CX25" i="4"/>
  <c r="CY25" i="4"/>
  <c r="CZ25" i="4"/>
  <c r="DA25" i="4"/>
  <c r="DB25" i="4"/>
  <c r="DC25" i="4"/>
  <c r="DD25" i="4"/>
  <c r="DE25" i="4"/>
  <c r="DF25" i="4"/>
  <c r="DG25" i="4"/>
  <c r="DH25" i="4"/>
  <c r="DI25" i="4"/>
  <c r="DJ25" i="4"/>
  <c r="DK25" i="4"/>
  <c r="DL25" i="4"/>
  <c r="DM25" i="4"/>
  <c r="DN25" i="4"/>
  <c r="CQ26" i="4"/>
  <c r="CR26" i="4"/>
  <c r="CS26" i="4"/>
  <c r="CT26" i="4"/>
  <c r="CU26" i="4"/>
  <c r="CV26" i="4"/>
  <c r="CW26" i="4"/>
  <c r="CX26" i="4"/>
  <c r="CY26" i="4"/>
  <c r="CZ26" i="4"/>
  <c r="DA26" i="4"/>
  <c r="DB26" i="4"/>
  <c r="DC26" i="4"/>
  <c r="DD26" i="4"/>
  <c r="DE26" i="4"/>
  <c r="DF26" i="4"/>
  <c r="DG26" i="4"/>
  <c r="DH26" i="4"/>
  <c r="DI26" i="4"/>
  <c r="DJ26" i="4"/>
  <c r="DK26" i="4"/>
  <c r="DL26" i="4"/>
  <c r="DM26" i="4"/>
  <c r="DN26" i="4"/>
  <c r="CQ27" i="4"/>
  <c r="CR27" i="4"/>
  <c r="CS27" i="4"/>
  <c r="CT27" i="4"/>
  <c r="CU27" i="4"/>
  <c r="CV27" i="4"/>
  <c r="CW27" i="4"/>
  <c r="CX27" i="4"/>
  <c r="CY27" i="4"/>
  <c r="CZ27" i="4"/>
  <c r="DA27" i="4"/>
  <c r="DB27" i="4"/>
  <c r="DC27" i="4"/>
  <c r="DD27" i="4"/>
  <c r="DE27" i="4"/>
  <c r="DF27" i="4"/>
  <c r="DG27" i="4"/>
  <c r="DH27" i="4"/>
  <c r="DI27" i="4"/>
  <c r="DJ27" i="4"/>
  <c r="DK27" i="4"/>
  <c r="DL27" i="4"/>
  <c r="DM27" i="4"/>
  <c r="DN27" i="4"/>
  <c r="CQ29" i="4"/>
  <c r="CR29" i="4"/>
  <c r="CS29" i="4"/>
  <c r="CT29" i="4"/>
  <c r="CU29" i="4"/>
  <c r="CV29" i="4"/>
  <c r="CW29" i="4"/>
  <c r="CX29" i="4"/>
  <c r="CY29" i="4"/>
  <c r="CZ29" i="4"/>
  <c r="DA29" i="4"/>
  <c r="DB29" i="4"/>
  <c r="DC29" i="4"/>
  <c r="DD29" i="4"/>
  <c r="DE29" i="4"/>
  <c r="DF29" i="4"/>
  <c r="DG29" i="4"/>
  <c r="DH29" i="4"/>
  <c r="DI29" i="4"/>
  <c r="DJ29" i="4"/>
  <c r="DK29" i="4"/>
  <c r="DL29" i="4"/>
  <c r="DM29" i="4"/>
  <c r="DN29" i="4"/>
  <c r="CQ32" i="4"/>
  <c r="CR32" i="4"/>
  <c r="CS32" i="4"/>
  <c r="CT32" i="4"/>
  <c r="CU32" i="4"/>
  <c r="CV32" i="4"/>
  <c r="CW32" i="4"/>
  <c r="CX32" i="4"/>
  <c r="CY32" i="4"/>
  <c r="CZ32" i="4"/>
  <c r="DA32" i="4"/>
  <c r="DB32" i="4"/>
  <c r="DC32" i="4"/>
  <c r="DD32" i="4"/>
  <c r="DE32" i="4"/>
  <c r="DF32" i="4"/>
  <c r="DG32" i="4"/>
  <c r="DH32" i="4"/>
  <c r="DI32" i="4"/>
  <c r="DJ32" i="4"/>
  <c r="DK32" i="4"/>
  <c r="DL32" i="4"/>
  <c r="DM32" i="4"/>
  <c r="DN32" i="4"/>
  <c r="CQ33" i="4"/>
  <c r="CR33" i="4"/>
  <c r="CS33" i="4"/>
  <c r="CT33" i="4"/>
  <c r="CU33" i="4"/>
  <c r="CV33" i="4"/>
  <c r="CW33" i="4"/>
  <c r="CX33" i="4"/>
  <c r="CY33" i="4"/>
  <c r="CZ33" i="4"/>
  <c r="DA33" i="4"/>
  <c r="DB33" i="4"/>
  <c r="DC33" i="4"/>
  <c r="DD33" i="4"/>
  <c r="DE33" i="4"/>
  <c r="DF33" i="4"/>
  <c r="DG33" i="4"/>
  <c r="DH33" i="4"/>
  <c r="DI33" i="4"/>
  <c r="DJ33" i="4"/>
  <c r="DK33" i="4"/>
  <c r="DL33" i="4"/>
  <c r="DM33" i="4"/>
  <c r="DN33" i="4"/>
  <c r="CQ34" i="4"/>
  <c r="CR34" i="4"/>
  <c r="CS34" i="4"/>
  <c r="CT34" i="4"/>
  <c r="CU34" i="4"/>
  <c r="CV34" i="4"/>
  <c r="CW34" i="4"/>
  <c r="CX34" i="4"/>
  <c r="CY34" i="4"/>
  <c r="CZ34" i="4"/>
  <c r="DA34" i="4"/>
  <c r="DB34" i="4"/>
  <c r="DC34" i="4"/>
  <c r="DD34" i="4"/>
  <c r="DE34" i="4"/>
  <c r="DF34" i="4"/>
  <c r="DG34" i="4"/>
  <c r="DH34" i="4"/>
  <c r="DI34" i="4"/>
  <c r="DJ34" i="4"/>
  <c r="DK34" i="4"/>
  <c r="DL34" i="4"/>
  <c r="DM34" i="4"/>
  <c r="DN34" i="4"/>
  <c r="CQ35" i="4"/>
  <c r="CR35" i="4"/>
  <c r="CS35" i="4"/>
  <c r="CT35" i="4"/>
  <c r="CU35" i="4"/>
  <c r="CV35" i="4"/>
  <c r="CW35" i="4"/>
  <c r="CX35" i="4"/>
  <c r="CY35" i="4"/>
  <c r="CZ35" i="4"/>
  <c r="DA35" i="4"/>
  <c r="DB35" i="4"/>
  <c r="DC35" i="4"/>
  <c r="DD35" i="4"/>
  <c r="DE35" i="4"/>
  <c r="DF35" i="4"/>
  <c r="DG35" i="4"/>
  <c r="DH35" i="4"/>
  <c r="DI35" i="4"/>
  <c r="DJ35" i="4"/>
  <c r="DK35" i="4"/>
  <c r="DL35" i="4"/>
  <c r="DM35" i="4"/>
  <c r="DN35" i="4"/>
  <c r="CQ36" i="4"/>
  <c r="CR36" i="4"/>
  <c r="CS36" i="4"/>
  <c r="CT36" i="4"/>
  <c r="CU36" i="4"/>
  <c r="CV36" i="4"/>
  <c r="CW36" i="4"/>
  <c r="CX36" i="4"/>
  <c r="CY36" i="4"/>
  <c r="CZ36" i="4"/>
  <c r="DA36" i="4"/>
  <c r="DB36" i="4"/>
  <c r="DC36" i="4"/>
  <c r="DD36" i="4"/>
  <c r="DE36" i="4"/>
  <c r="DF36" i="4"/>
  <c r="DG36" i="4"/>
  <c r="DH36" i="4"/>
  <c r="DI36" i="4"/>
  <c r="DJ36" i="4"/>
  <c r="DK36" i="4"/>
  <c r="DL36" i="4"/>
  <c r="DM36" i="4"/>
  <c r="DN36" i="4"/>
  <c r="CQ37" i="4"/>
  <c r="CR37" i="4"/>
  <c r="CS37" i="4"/>
  <c r="CT37" i="4"/>
  <c r="CU37" i="4"/>
  <c r="CV37" i="4"/>
  <c r="CW37" i="4"/>
  <c r="CX37" i="4"/>
  <c r="CY37" i="4"/>
  <c r="CZ37" i="4"/>
  <c r="DA37" i="4"/>
  <c r="DB37" i="4"/>
  <c r="DC37" i="4"/>
  <c r="DD37" i="4"/>
  <c r="DE37" i="4"/>
  <c r="DF37" i="4"/>
  <c r="DG37" i="4"/>
  <c r="DH37" i="4"/>
  <c r="DI37" i="4"/>
  <c r="DJ37" i="4"/>
  <c r="DK37" i="4"/>
  <c r="DL37" i="4"/>
  <c r="DM37" i="4"/>
  <c r="DN37" i="4"/>
  <c r="CQ38" i="4"/>
  <c r="CR38" i="4"/>
  <c r="CS38" i="4"/>
  <c r="CT38" i="4"/>
  <c r="CU38" i="4"/>
  <c r="CV38" i="4"/>
  <c r="CW38" i="4"/>
  <c r="CX38" i="4"/>
  <c r="CY38" i="4"/>
  <c r="CZ38" i="4"/>
  <c r="DA38" i="4"/>
  <c r="DB38" i="4"/>
  <c r="DC38" i="4"/>
  <c r="DD38" i="4"/>
  <c r="DE38" i="4"/>
  <c r="DF38" i="4"/>
  <c r="DG38" i="4"/>
  <c r="DH38" i="4"/>
  <c r="DI38" i="4"/>
  <c r="DJ38" i="4"/>
  <c r="DK38" i="4"/>
  <c r="DL38" i="4"/>
  <c r="DM38" i="4"/>
  <c r="DN38" i="4"/>
  <c r="CQ39" i="4"/>
  <c r="CR39" i="4"/>
  <c r="CS39" i="4"/>
  <c r="CT39" i="4"/>
  <c r="CU39" i="4"/>
  <c r="CV39" i="4"/>
  <c r="CW39" i="4"/>
  <c r="CX39" i="4"/>
  <c r="CY39" i="4"/>
  <c r="CZ39" i="4"/>
  <c r="DA39" i="4"/>
  <c r="DB39" i="4"/>
  <c r="DC39" i="4"/>
  <c r="DD39" i="4"/>
  <c r="DE39" i="4"/>
  <c r="DF39" i="4"/>
  <c r="DG39" i="4"/>
  <c r="DH39" i="4"/>
  <c r="DI39" i="4"/>
  <c r="DJ39" i="4"/>
  <c r="DK39" i="4"/>
  <c r="DL39" i="4"/>
  <c r="DM39" i="4"/>
  <c r="DN39" i="4"/>
  <c r="CQ40" i="4"/>
  <c r="CR40" i="4"/>
  <c r="CS40" i="4"/>
  <c r="CT40" i="4"/>
  <c r="CU40" i="4"/>
  <c r="CV40" i="4"/>
  <c r="CW40" i="4"/>
  <c r="CX40" i="4"/>
  <c r="CY40" i="4"/>
  <c r="CZ40" i="4"/>
  <c r="DA40" i="4"/>
  <c r="DB40" i="4"/>
  <c r="DC40" i="4"/>
  <c r="DD40" i="4"/>
  <c r="DE40" i="4"/>
  <c r="DF40" i="4"/>
  <c r="DG40" i="4"/>
  <c r="DH40" i="4"/>
  <c r="DI40" i="4"/>
  <c r="DJ40" i="4"/>
  <c r="DK40" i="4"/>
  <c r="DL40" i="4"/>
  <c r="DM40" i="4"/>
  <c r="DN40" i="4"/>
  <c r="CQ41" i="4"/>
  <c r="CR41" i="4"/>
  <c r="CS41" i="4"/>
  <c r="CT41" i="4"/>
  <c r="CU41" i="4"/>
  <c r="CV41" i="4"/>
  <c r="CW41" i="4"/>
  <c r="CX41" i="4"/>
  <c r="CY41" i="4"/>
  <c r="CZ41" i="4"/>
  <c r="DA41" i="4"/>
  <c r="DB41" i="4"/>
  <c r="DC41" i="4"/>
  <c r="DD41" i="4"/>
  <c r="DE41" i="4"/>
  <c r="DF41" i="4"/>
  <c r="DG41" i="4"/>
  <c r="DH41" i="4"/>
  <c r="DI41" i="4"/>
  <c r="DJ41" i="4"/>
  <c r="DK41" i="4"/>
  <c r="DL41" i="4"/>
  <c r="DM41" i="4"/>
  <c r="DN41" i="4"/>
  <c r="CQ42" i="4"/>
  <c r="CR42" i="4"/>
  <c r="CS42" i="4"/>
  <c r="CT42" i="4"/>
  <c r="CU42" i="4"/>
  <c r="CV42" i="4"/>
  <c r="CW42" i="4"/>
  <c r="CX42" i="4"/>
  <c r="CY42" i="4"/>
  <c r="CZ42" i="4"/>
  <c r="DA42" i="4"/>
  <c r="DB42" i="4"/>
  <c r="DC42" i="4"/>
  <c r="DD42" i="4"/>
  <c r="DE42" i="4"/>
  <c r="DF42" i="4"/>
  <c r="DG42" i="4"/>
  <c r="DH42" i="4"/>
  <c r="DI42" i="4"/>
  <c r="DJ42" i="4"/>
  <c r="DK42" i="4"/>
  <c r="DL42" i="4"/>
  <c r="DM42" i="4"/>
  <c r="DN42" i="4"/>
  <c r="CQ43" i="4"/>
  <c r="CR43" i="4"/>
  <c r="CS43" i="4"/>
  <c r="CT43" i="4"/>
  <c r="CU43" i="4"/>
  <c r="CV43" i="4"/>
  <c r="CW43" i="4"/>
  <c r="CX43" i="4"/>
  <c r="CY43" i="4"/>
  <c r="CZ43" i="4"/>
  <c r="DA43" i="4"/>
  <c r="DB43" i="4"/>
  <c r="DC43" i="4"/>
  <c r="DD43" i="4"/>
  <c r="DE43" i="4"/>
  <c r="DF43" i="4"/>
  <c r="DG43" i="4"/>
  <c r="DH43" i="4"/>
  <c r="DI43" i="4"/>
  <c r="DJ43" i="4"/>
  <c r="DK43" i="4"/>
  <c r="DL43" i="4"/>
  <c r="DM43" i="4"/>
  <c r="DN43" i="4"/>
  <c r="CQ45" i="4"/>
  <c r="CR45" i="4"/>
  <c r="CS45" i="4"/>
  <c r="CT45" i="4"/>
  <c r="CU45" i="4"/>
  <c r="CV45" i="4"/>
  <c r="CW45" i="4"/>
  <c r="CX45" i="4"/>
  <c r="CY45" i="4"/>
  <c r="CZ45" i="4"/>
  <c r="DA45" i="4"/>
  <c r="DB45" i="4"/>
  <c r="DC45" i="4"/>
  <c r="DD45" i="4"/>
  <c r="DE45" i="4"/>
  <c r="DF45" i="4"/>
  <c r="DG45" i="4"/>
  <c r="DH45" i="4"/>
  <c r="DI45" i="4"/>
  <c r="DJ45" i="4"/>
  <c r="DK45" i="4"/>
  <c r="DL45" i="4"/>
  <c r="DM45" i="4"/>
  <c r="DN45" i="4"/>
  <c r="CQ46" i="4"/>
  <c r="CR46" i="4"/>
  <c r="CS46" i="4"/>
  <c r="CT46" i="4"/>
  <c r="CU46" i="4"/>
  <c r="CV46" i="4"/>
  <c r="CW46" i="4"/>
  <c r="CX46" i="4"/>
  <c r="CY46" i="4"/>
  <c r="CZ46" i="4"/>
  <c r="DA46" i="4"/>
  <c r="DB46" i="4"/>
  <c r="DC46" i="4"/>
  <c r="DD46" i="4"/>
  <c r="DE46" i="4"/>
  <c r="DF46" i="4"/>
  <c r="DG46" i="4"/>
  <c r="DH46" i="4"/>
  <c r="DI46" i="4"/>
  <c r="DJ46" i="4"/>
  <c r="DK46" i="4"/>
  <c r="DL46" i="4"/>
  <c r="DM46" i="4"/>
  <c r="DN46" i="4"/>
  <c r="CQ47" i="4"/>
  <c r="CR47" i="4"/>
  <c r="CS47" i="4"/>
  <c r="CT47" i="4"/>
  <c r="CU47" i="4"/>
  <c r="CV47" i="4"/>
  <c r="CW47" i="4"/>
  <c r="CX47" i="4"/>
  <c r="CY47" i="4"/>
  <c r="CZ47" i="4"/>
  <c r="DA47" i="4"/>
  <c r="DB47" i="4"/>
  <c r="DC47" i="4"/>
  <c r="DD47" i="4"/>
  <c r="DE47" i="4"/>
  <c r="DF47" i="4"/>
  <c r="DG47" i="4"/>
  <c r="DH47" i="4"/>
  <c r="DI47" i="4"/>
  <c r="DJ47" i="4"/>
  <c r="DK47" i="4"/>
  <c r="DL47" i="4"/>
  <c r="DM47" i="4"/>
  <c r="DN47" i="4"/>
  <c r="CQ49" i="4"/>
  <c r="CR49" i="4"/>
  <c r="CS49" i="4"/>
  <c r="CT49" i="4"/>
  <c r="CU49" i="4"/>
  <c r="CV49" i="4"/>
  <c r="CW49" i="4"/>
  <c r="CX49" i="4"/>
  <c r="CY49" i="4"/>
  <c r="CZ49" i="4"/>
  <c r="DA49" i="4"/>
  <c r="DB49" i="4"/>
  <c r="DC49" i="4"/>
  <c r="DD49" i="4"/>
  <c r="DE49" i="4"/>
  <c r="DF49" i="4"/>
  <c r="DG49" i="4"/>
  <c r="DH49" i="4"/>
  <c r="DI49" i="4"/>
  <c r="DJ49" i="4"/>
  <c r="DK49" i="4"/>
  <c r="DL49" i="4"/>
  <c r="DM49" i="4"/>
  <c r="DN49" i="4"/>
  <c r="CQ50" i="4"/>
  <c r="CR50" i="4"/>
  <c r="CS50" i="4"/>
  <c r="CT50" i="4"/>
  <c r="CU50" i="4"/>
  <c r="CV50" i="4"/>
  <c r="CW50" i="4"/>
  <c r="CX50" i="4"/>
  <c r="CY50" i="4"/>
  <c r="CZ50" i="4"/>
  <c r="DA50" i="4"/>
  <c r="DB50" i="4"/>
  <c r="DC50" i="4"/>
  <c r="DD50" i="4"/>
  <c r="DE50" i="4"/>
  <c r="DF50" i="4"/>
  <c r="DG50" i="4"/>
  <c r="DH50" i="4"/>
  <c r="DI50" i="4"/>
  <c r="DJ50" i="4"/>
  <c r="DK50" i="4"/>
  <c r="DL50" i="4"/>
  <c r="DM50" i="4"/>
  <c r="DN50" i="4"/>
  <c r="CQ51" i="4"/>
  <c r="CR51" i="4"/>
  <c r="CS51" i="4"/>
  <c r="CT51" i="4"/>
  <c r="CU51" i="4"/>
  <c r="CV51" i="4"/>
  <c r="CW51" i="4"/>
  <c r="CX51" i="4"/>
  <c r="CY51" i="4"/>
  <c r="CZ51" i="4"/>
  <c r="DA51" i="4"/>
  <c r="DB51" i="4"/>
  <c r="DC51" i="4"/>
  <c r="DD51" i="4"/>
  <c r="DE51" i="4"/>
  <c r="DF51" i="4"/>
  <c r="DG51" i="4"/>
  <c r="DH51" i="4"/>
  <c r="DI51" i="4"/>
  <c r="DJ51" i="4"/>
  <c r="DK51" i="4"/>
  <c r="DL51" i="4"/>
  <c r="DM51" i="4"/>
  <c r="DN51" i="4"/>
  <c r="CQ52" i="4"/>
  <c r="CR52" i="4"/>
  <c r="CS52" i="4"/>
  <c r="CT52" i="4"/>
  <c r="CU52" i="4"/>
  <c r="CV52" i="4"/>
  <c r="CW52" i="4"/>
  <c r="CX52" i="4"/>
  <c r="CY52" i="4"/>
  <c r="CZ52" i="4"/>
  <c r="DA52" i="4"/>
  <c r="DB52" i="4"/>
  <c r="DC52" i="4"/>
  <c r="DD52" i="4"/>
  <c r="DE52" i="4"/>
  <c r="DF52" i="4"/>
  <c r="DG52" i="4"/>
  <c r="DH52" i="4"/>
  <c r="DI52" i="4"/>
  <c r="DJ52" i="4"/>
  <c r="DK52" i="4"/>
  <c r="DL52" i="4"/>
  <c r="DM52" i="4"/>
  <c r="DN52" i="4"/>
  <c r="CQ53" i="4"/>
  <c r="CR53" i="4"/>
  <c r="CS53" i="4"/>
  <c r="CT53" i="4"/>
  <c r="CU53" i="4"/>
  <c r="CV53" i="4"/>
  <c r="CW53" i="4"/>
  <c r="CX53" i="4"/>
  <c r="CY53" i="4"/>
  <c r="CZ53" i="4"/>
  <c r="DA53" i="4"/>
  <c r="DB53" i="4"/>
  <c r="DC53" i="4"/>
  <c r="DD53" i="4"/>
  <c r="DE53" i="4"/>
  <c r="DF53" i="4"/>
  <c r="DG53" i="4"/>
  <c r="DH53" i="4"/>
  <c r="DI53" i="4"/>
  <c r="DJ53" i="4"/>
  <c r="DK53" i="4"/>
  <c r="DL53" i="4"/>
  <c r="DM53" i="4"/>
  <c r="DN53" i="4"/>
  <c r="CQ54" i="4"/>
  <c r="CR54" i="4"/>
  <c r="CS54" i="4"/>
  <c r="CT54" i="4"/>
  <c r="CU54" i="4"/>
  <c r="CV54" i="4"/>
  <c r="CW54" i="4"/>
  <c r="CX54" i="4"/>
  <c r="CY54" i="4"/>
  <c r="CZ54" i="4"/>
  <c r="DA54" i="4"/>
  <c r="DB54" i="4"/>
  <c r="DC54" i="4"/>
  <c r="DD54" i="4"/>
  <c r="DE54" i="4"/>
  <c r="DF54" i="4"/>
  <c r="DG54" i="4"/>
  <c r="DH54" i="4"/>
  <c r="DI54" i="4"/>
  <c r="DJ54" i="4"/>
  <c r="DK54" i="4"/>
  <c r="DL54" i="4"/>
  <c r="DM54" i="4"/>
  <c r="DN54" i="4"/>
  <c r="CQ57" i="4"/>
  <c r="CR57" i="4"/>
  <c r="CS57" i="4"/>
  <c r="CT57" i="4"/>
  <c r="CU57" i="4"/>
  <c r="CV57" i="4"/>
  <c r="CW57" i="4"/>
  <c r="CX57" i="4"/>
  <c r="CY57" i="4"/>
  <c r="CZ57" i="4"/>
  <c r="DA57" i="4"/>
  <c r="DB57" i="4"/>
  <c r="DC57" i="4"/>
  <c r="DD57" i="4"/>
  <c r="DE57" i="4"/>
  <c r="DF57" i="4"/>
  <c r="DG57" i="4"/>
  <c r="DH57" i="4"/>
  <c r="DI57" i="4"/>
  <c r="DJ57" i="4"/>
  <c r="DK57" i="4"/>
  <c r="DL57" i="4"/>
  <c r="DM57" i="4"/>
  <c r="DN57" i="4"/>
  <c r="CQ59" i="4"/>
  <c r="CR59" i="4"/>
  <c r="CS59" i="4"/>
  <c r="CT59" i="4"/>
  <c r="CU59" i="4"/>
  <c r="CV59" i="4"/>
  <c r="CW59" i="4"/>
  <c r="CX59" i="4"/>
  <c r="CY59" i="4"/>
  <c r="CZ59" i="4"/>
  <c r="DA59" i="4"/>
  <c r="DB59" i="4"/>
  <c r="DC59" i="4"/>
  <c r="DD59" i="4"/>
  <c r="DE59" i="4"/>
  <c r="DF59" i="4"/>
  <c r="DG59" i="4"/>
  <c r="DH59" i="4"/>
  <c r="DI59" i="4"/>
  <c r="DJ59" i="4"/>
  <c r="DK59" i="4"/>
  <c r="DL59" i="4"/>
  <c r="DM59" i="4"/>
  <c r="DN59" i="4"/>
  <c r="CQ60" i="4"/>
  <c r="CR60" i="4"/>
  <c r="CS60" i="4"/>
  <c r="CT60" i="4"/>
  <c r="CU60" i="4"/>
  <c r="CV60" i="4"/>
  <c r="CW60" i="4"/>
  <c r="CX60" i="4"/>
  <c r="CY60" i="4"/>
  <c r="CZ60" i="4"/>
  <c r="DA60" i="4"/>
  <c r="DB60" i="4"/>
  <c r="DC60" i="4"/>
  <c r="DD60" i="4"/>
  <c r="DE60" i="4"/>
  <c r="DF60" i="4"/>
  <c r="DG60" i="4"/>
  <c r="DH60" i="4"/>
  <c r="DI60" i="4"/>
  <c r="DJ60" i="4"/>
  <c r="DK60" i="4"/>
  <c r="DL60" i="4"/>
  <c r="DM60" i="4"/>
  <c r="DN60" i="4"/>
  <c r="CQ61" i="4"/>
  <c r="CR61" i="4"/>
  <c r="CS61" i="4"/>
  <c r="CT61" i="4"/>
  <c r="CU61" i="4"/>
  <c r="CV61" i="4"/>
  <c r="CW61" i="4"/>
  <c r="CX61" i="4"/>
  <c r="CY61" i="4"/>
  <c r="CZ61" i="4"/>
  <c r="DA61" i="4"/>
  <c r="DB61" i="4"/>
  <c r="DC61" i="4"/>
  <c r="DD61" i="4"/>
  <c r="DE61" i="4"/>
  <c r="DF61" i="4"/>
  <c r="DG61" i="4"/>
  <c r="DH61" i="4"/>
  <c r="DI61" i="4"/>
  <c r="DJ61" i="4"/>
  <c r="DK61" i="4"/>
  <c r="DL61" i="4"/>
  <c r="DM61" i="4"/>
  <c r="DN61" i="4"/>
  <c r="CQ62" i="4"/>
  <c r="CR62" i="4"/>
  <c r="CS62" i="4"/>
  <c r="CT62" i="4"/>
  <c r="CU62" i="4"/>
  <c r="CV62" i="4"/>
  <c r="CW62" i="4"/>
  <c r="CX62" i="4"/>
  <c r="CY62" i="4"/>
  <c r="CZ62" i="4"/>
  <c r="DA62" i="4"/>
  <c r="DB62" i="4"/>
  <c r="DC62" i="4"/>
  <c r="DD62" i="4"/>
  <c r="DE62" i="4"/>
  <c r="DF62" i="4"/>
  <c r="DG62" i="4"/>
  <c r="DH62" i="4"/>
  <c r="DI62" i="4"/>
  <c r="DJ62" i="4"/>
  <c r="DK62" i="4"/>
  <c r="DL62" i="4"/>
  <c r="DM62" i="4"/>
  <c r="DN62" i="4"/>
  <c r="CQ65" i="4"/>
  <c r="CR65" i="4"/>
  <c r="CS65" i="4"/>
  <c r="CT65" i="4"/>
  <c r="CU65" i="4"/>
  <c r="CV65" i="4"/>
  <c r="CW65" i="4"/>
  <c r="CX65" i="4"/>
  <c r="CY65" i="4"/>
  <c r="CZ65" i="4"/>
  <c r="DA65" i="4"/>
  <c r="DB65" i="4"/>
  <c r="DC65" i="4"/>
  <c r="DD65" i="4"/>
  <c r="DE65" i="4"/>
  <c r="DF65" i="4"/>
  <c r="DG65" i="4"/>
  <c r="DH65" i="4"/>
  <c r="DI65" i="4"/>
  <c r="DJ65" i="4"/>
  <c r="DK65" i="4"/>
  <c r="DL65" i="4"/>
  <c r="DM65" i="4"/>
  <c r="DN65" i="4"/>
  <c r="CQ66" i="4"/>
  <c r="CR66" i="4"/>
  <c r="CS66" i="4"/>
  <c r="CT66" i="4"/>
  <c r="CU66" i="4"/>
  <c r="CV66" i="4"/>
  <c r="CW66" i="4"/>
  <c r="CX66" i="4"/>
  <c r="CY66" i="4"/>
  <c r="CZ66" i="4"/>
  <c r="DA66" i="4"/>
  <c r="DB66" i="4"/>
  <c r="DC66" i="4"/>
  <c r="DD66" i="4"/>
  <c r="DE66" i="4"/>
  <c r="DF66" i="4"/>
  <c r="DG66" i="4"/>
  <c r="DH66" i="4"/>
  <c r="DI66" i="4"/>
  <c r="DJ66" i="4"/>
  <c r="DK66" i="4"/>
  <c r="DL66" i="4"/>
  <c r="DM66" i="4"/>
  <c r="DN66" i="4"/>
  <c r="CQ67" i="4"/>
  <c r="CR67" i="4"/>
  <c r="CS67" i="4"/>
  <c r="CT67" i="4"/>
  <c r="CU67" i="4"/>
  <c r="CV67" i="4"/>
  <c r="CW67" i="4"/>
  <c r="CX67" i="4"/>
  <c r="CY67" i="4"/>
  <c r="CZ67" i="4"/>
  <c r="DA67" i="4"/>
  <c r="DB67" i="4"/>
  <c r="DC67" i="4"/>
  <c r="DD67" i="4"/>
  <c r="DE67" i="4"/>
  <c r="DF67" i="4"/>
  <c r="DG67" i="4"/>
  <c r="DH67" i="4"/>
  <c r="DI67" i="4"/>
  <c r="DJ67" i="4"/>
  <c r="DK67" i="4"/>
  <c r="DL67" i="4"/>
  <c r="DM67" i="4"/>
  <c r="DN67" i="4"/>
  <c r="CQ69" i="4"/>
  <c r="CR69" i="4"/>
  <c r="CS69" i="4"/>
  <c r="CT69" i="4"/>
  <c r="CU69" i="4"/>
  <c r="CV69" i="4"/>
  <c r="CW69" i="4"/>
  <c r="CX69" i="4"/>
  <c r="CY69" i="4"/>
  <c r="CZ69" i="4"/>
  <c r="DA69" i="4"/>
  <c r="DB69" i="4"/>
  <c r="DC69" i="4"/>
  <c r="DD69" i="4"/>
  <c r="DE69" i="4"/>
  <c r="DF69" i="4"/>
  <c r="DG69" i="4"/>
  <c r="DH69" i="4"/>
  <c r="DI69" i="4"/>
  <c r="DJ69" i="4"/>
  <c r="DK69" i="4"/>
  <c r="DL69" i="4"/>
  <c r="DM69" i="4"/>
  <c r="DN69" i="4"/>
  <c r="CQ70" i="4"/>
  <c r="CR70" i="4"/>
  <c r="CS70" i="4"/>
  <c r="CT70" i="4"/>
  <c r="CU70" i="4"/>
  <c r="CV70" i="4"/>
  <c r="CW70" i="4"/>
  <c r="CX70" i="4"/>
  <c r="CY70" i="4"/>
  <c r="CZ70" i="4"/>
  <c r="DA70" i="4"/>
  <c r="DB70" i="4"/>
  <c r="DC70" i="4"/>
  <c r="DD70" i="4"/>
  <c r="DE70" i="4"/>
  <c r="DF70" i="4"/>
  <c r="DG70" i="4"/>
  <c r="DH70" i="4"/>
  <c r="DI70" i="4"/>
  <c r="DJ70" i="4"/>
  <c r="DK70" i="4"/>
  <c r="DL70" i="4"/>
  <c r="DM70" i="4"/>
  <c r="DN70" i="4"/>
  <c r="CQ72" i="4"/>
  <c r="CR72" i="4"/>
  <c r="CS72" i="4"/>
  <c r="CT72" i="4"/>
  <c r="CU72" i="4"/>
  <c r="CV72" i="4"/>
  <c r="CW72" i="4"/>
  <c r="CX72" i="4"/>
  <c r="CY72" i="4"/>
  <c r="CZ72" i="4"/>
  <c r="DA72" i="4"/>
  <c r="DB72" i="4"/>
  <c r="DC72" i="4"/>
  <c r="DD72" i="4"/>
  <c r="DE72" i="4"/>
  <c r="DF72" i="4"/>
  <c r="DG72" i="4"/>
  <c r="DH72" i="4"/>
  <c r="DI72" i="4"/>
  <c r="DJ72" i="4"/>
  <c r="DK72" i="4"/>
  <c r="DL72" i="4"/>
  <c r="DM72" i="4"/>
  <c r="DN72" i="4"/>
  <c r="CQ73" i="4"/>
  <c r="CR73" i="4"/>
  <c r="CS73" i="4"/>
  <c r="CT73" i="4"/>
  <c r="CU73" i="4"/>
  <c r="CV73" i="4"/>
  <c r="CW73" i="4"/>
  <c r="CX73" i="4"/>
  <c r="CY73" i="4"/>
  <c r="CZ73" i="4"/>
  <c r="DA73" i="4"/>
  <c r="DB73" i="4"/>
  <c r="DC73" i="4"/>
  <c r="DD73" i="4"/>
  <c r="DE73" i="4"/>
  <c r="DF73" i="4"/>
  <c r="DG73" i="4"/>
  <c r="DH73" i="4"/>
  <c r="DI73" i="4"/>
  <c r="DJ73" i="4"/>
  <c r="DK73" i="4"/>
  <c r="DL73" i="4"/>
  <c r="DM73" i="4"/>
  <c r="DN73" i="4"/>
  <c r="CQ74" i="4"/>
  <c r="CR74" i="4"/>
  <c r="CS74" i="4"/>
  <c r="CT74" i="4"/>
  <c r="CU74" i="4"/>
  <c r="CV74" i="4"/>
  <c r="CW74" i="4"/>
  <c r="CX74" i="4"/>
  <c r="CY74" i="4"/>
  <c r="CZ74" i="4"/>
  <c r="DA74" i="4"/>
  <c r="DB74" i="4"/>
  <c r="DC74" i="4"/>
  <c r="DD74" i="4"/>
  <c r="DE74" i="4"/>
  <c r="DF74" i="4"/>
  <c r="DG74" i="4"/>
  <c r="DH74" i="4"/>
  <c r="DI74" i="4"/>
  <c r="DJ74" i="4"/>
  <c r="DK74" i="4"/>
  <c r="DL74" i="4"/>
  <c r="DM74" i="4"/>
  <c r="DN74" i="4"/>
  <c r="CQ80" i="4"/>
  <c r="CR80" i="4"/>
  <c r="CS80" i="4"/>
  <c r="CT80" i="4"/>
  <c r="CU80" i="4"/>
  <c r="CV80" i="4"/>
  <c r="CW80" i="4"/>
  <c r="CX80" i="4"/>
  <c r="CY80" i="4"/>
  <c r="CZ80" i="4"/>
  <c r="DA80" i="4"/>
  <c r="DB80" i="4"/>
  <c r="DC80" i="4"/>
  <c r="DD80" i="4"/>
  <c r="DE80" i="4"/>
  <c r="DF80" i="4"/>
  <c r="DG80" i="4"/>
  <c r="DH80" i="4"/>
  <c r="DI80" i="4"/>
  <c r="DJ80" i="4"/>
  <c r="DK80" i="4"/>
  <c r="DL80" i="4"/>
  <c r="DM80" i="4"/>
  <c r="DN80" i="4"/>
  <c r="CQ81" i="4"/>
  <c r="CR81" i="4"/>
  <c r="CS81" i="4"/>
  <c r="CT81" i="4"/>
  <c r="CU81" i="4"/>
  <c r="CV81" i="4"/>
  <c r="CW81" i="4"/>
  <c r="CX81" i="4"/>
  <c r="CY81" i="4"/>
  <c r="CZ81" i="4"/>
  <c r="DA81" i="4"/>
  <c r="DB81" i="4"/>
  <c r="DC81" i="4"/>
  <c r="DD81" i="4"/>
  <c r="DE81" i="4"/>
  <c r="DF81" i="4"/>
  <c r="DG81" i="4"/>
  <c r="DH81" i="4"/>
  <c r="DI81" i="4"/>
  <c r="DJ81" i="4"/>
  <c r="DK81" i="4"/>
  <c r="DL81" i="4"/>
  <c r="DM81" i="4"/>
  <c r="DN81" i="4"/>
  <c r="CQ82" i="4"/>
  <c r="CR82" i="4"/>
  <c r="CS82" i="4"/>
  <c r="CT82" i="4"/>
  <c r="CU82" i="4"/>
  <c r="CV82" i="4"/>
  <c r="CW82" i="4"/>
  <c r="CX82" i="4"/>
  <c r="CY82" i="4"/>
  <c r="CZ82" i="4"/>
  <c r="DA82" i="4"/>
  <c r="DB82" i="4"/>
  <c r="DC82" i="4"/>
  <c r="DD82" i="4"/>
  <c r="DE82" i="4"/>
  <c r="DF82" i="4"/>
  <c r="DG82" i="4"/>
  <c r="DH82" i="4"/>
  <c r="DI82" i="4"/>
  <c r="DJ82" i="4"/>
  <c r="DK82" i="4"/>
  <c r="DL82" i="4"/>
  <c r="DM82" i="4"/>
  <c r="DN82" i="4"/>
  <c r="CQ83" i="4"/>
  <c r="CR83" i="4"/>
  <c r="CS83" i="4"/>
  <c r="CT83" i="4"/>
  <c r="CU83" i="4"/>
  <c r="CV83" i="4"/>
  <c r="CW83" i="4"/>
  <c r="CX83" i="4"/>
  <c r="CY83" i="4"/>
  <c r="CZ83" i="4"/>
  <c r="DA83" i="4"/>
  <c r="DB83" i="4"/>
  <c r="DC83" i="4"/>
  <c r="DD83" i="4"/>
  <c r="DE83" i="4"/>
  <c r="DF83" i="4"/>
  <c r="DG83" i="4"/>
  <c r="DH83" i="4"/>
  <c r="DI83" i="4"/>
  <c r="DJ83" i="4"/>
  <c r="DK83" i="4"/>
  <c r="DL83" i="4"/>
  <c r="DM83" i="4"/>
  <c r="DN83" i="4"/>
  <c r="CQ84" i="4"/>
  <c r="CR84" i="4"/>
  <c r="CS84" i="4"/>
  <c r="CT84" i="4"/>
  <c r="CU84" i="4"/>
  <c r="CV84" i="4"/>
  <c r="CW84" i="4"/>
  <c r="CX84" i="4"/>
  <c r="CY84" i="4"/>
  <c r="CZ84" i="4"/>
  <c r="DA84" i="4"/>
  <c r="DB84" i="4"/>
  <c r="DC84" i="4"/>
  <c r="DD84" i="4"/>
  <c r="DE84" i="4"/>
  <c r="DF84" i="4"/>
  <c r="DG84" i="4"/>
  <c r="DH84" i="4"/>
  <c r="DI84" i="4"/>
  <c r="DJ84" i="4"/>
  <c r="DK84" i="4"/>
  <c r="DL84" i="4"/>
  <c r="DM84" i="4"/>
  <c r="DN84" i="4"/>
  <c r="CQ85" i="4"/>
  <c r="CR85" i="4"/>
  <c r="CS85" i="4"/>
  <c r="CT85" i="4"/>
  <c r="CU85" i="4"/>
  <c r="CV85" i="4"/>
  <c r="CW85" i="4"/>
  <c r="CX85" i="4"/>
  <c r="CY85" i="4"/>
  <c r="CZ85" i="4"/>
  <c r="DA85" i="4"/>
  <c r="DB85" i="4"/>
  <c r="DC85" i="4"/>
  <c r="DD85" i="4"/>
  <c r="DE85" i="4"/>
  <c r="DF85" i="4"/>
  <c r="DG85" i="4"/>
  <c r="DH85" i="4"/>
  <c r="DI85" i="4"/>
  <c r="DJ85" i="4"/>
  <c r="DK85" i="4"/>
  <c r="DL85" i="4"/>
  <c r="DM85" i="4"/>
  <c r="DN85" i="4"/>
  <c r="CQ86" i="4"/>
  <c r="CR86" i="4"/>
  <c r="CS86" i="4"/>
  <c r="CT86" i="4"/>
  <c r="CU86" i="4"/>
  <c r="CV86" i="4"/>
  <c r="CW86" i="4"/>
  <c r="CX86" i="4"/>
  <c r="CY86" i="4"/>
  <c r="CZ86" i="4"/>
  <c r="DA86" i="4"/>
  <c r="DB86" i="4"/>
  <c r="DC86" i="4"/>
  <c r="DD86" i="4"/>
  <c r="DE86" i="4"/>
  <c r="DF86" i="4"/>
  <c r="DG86" i="4"/>
  <c r="DH86" i="4"/>
  <c r="DI86" i="4"/>
  <c r="DJ86" i="4"/>
  <c r="DK86" i="4"/>
  <c r="DL86" i="4"/>
  <c r="DM86" i="4"/>
  <c r="DN86" i="4"/>
  <c r="CQ87" i="4"/>
  <c r="CR87" i="4"/>
  <c r="CS87" i="4"/>
  <c r="CT87" i="4"/>
  <c r="CU87" i="4"/>
  <c r="CV87" i="4"/>
  <c r="CW87" i="4"/>
  <c r="CX87" i="4"/>
  <c r="CY87" i="4"/>
  <c r="CZ87" i="4"/>
  <c r="DA87" i="4"/>
  <c r="DB87" i="4"/>
  <c r="DC87" i="4"/>
  <c r="DD87" i="4"/>
  <c r="DE87" i="4"/>
  <c r="DF87" i="4"/>
  <c r="DG87" i="4"/>
  <c r="DH87" i="4"/>
  <c r="DI87" i="4"/>
  <c r="DJ87" i="4"/>
  <c r="DK87" i="4"/>
  <c r="DL87" i="4"/>
  <c r="DM87" i="4"/>
  <c r="DN87" i="4"/>
  <c r="CQ88" i="4"/>
  <c r="CR88" i="4"/>
  <c r="CS88" i="4"/>
  <c r="CT88" i="4"/>
  <c r="CU88" i="4"/>
  <c r="CV88" i="4"/>
  <c r="CW88" i="4"/>
  <c r="CX88" i="4"/>
  <c r="CY88" i="4"/>
  <c r="CZ88" i="4"/>
  <c r="DA88" i="4"/>
  <c r="DB88" i="4"/>
  <c r="DC88" i="4"/>
  <c r="DD88" i="4"/>
  <c r="DE88" i="4"/>
  <c r="DF88" i="4"/>
  <c r="DG88" i="4"/>
  <c r="DH88" i="4"/>
  <c r="DI88" i="4"/>
  <c r="DJ88" i="4"/>
  <c r="DK88" i="4"/>
  <c r="DL88" i="4"/>
  <c r="DM88" i="4"/>
  <c r="DN88" i="4"/>
  <c r="CQ89" i="4"/>
  <c r="CR89" i="4"/>
  <c r="CS89" i="4"/>
  <c r="CT89" i="4"/>
  <c r="CU89" i="4"/>
  <c r="CV89" i="4"/>
  <c r="CW89" i="4"/>
  <c r="CX89" i="4"/>
  <c r="CY89" i="4"/>
  <c r="CZ89" i="4"/>
  <c r="DA89" i="4"/>
  <c r="DB89" i="4"/>
  <c r="DC89" i="4"/>
  <c r="DD89" i="4"/>
  <c r="DE89" i="4"/>
  <c r="DF89" i="4"/>
  <c r="DG89" i="4"/>
  <c r="DH89" i="4"/>
  <c r="DI89" i="4"/>
  <c r="DJ89" i="4"/>
  <c r="DK89" i="4"/>
  <c r="DL89" i="4"/>
  <c r="DM89" i="4"/>
  <c r="DN89" i="4"/>
  <c r="CQ90" i="4"/>
  <c r="CR90" i="4"/>
  <c r="CS90" i="4"/>
  <c r="CT90" i="4"/>
  <c r="CU90" i="4"/>
  <c r="CV90" i="4"/>
  <c r="CW90" i="4"/>
  <c r="CX90" i="4"/>
  <c r="CY90" i="4"/>
  <c r="CZ90" i="4"/>
  <c r="DA90" i="4"/>
  <c r="DB90" i="4"/>
  <c r="DC90" i="4"/>
  <c r="DD90" i="4"/>
  <c r="DE90" i="4"/>
  <c r="DF90" i="4"/>
  <c r="DG90" i="4"/>
  <c r="DH90" i="4"/>
  <c r="DI90" i="4"/>
  <c r="DJ90" i="4"/>
  <c r="DK90" i="4"/>
  <c r="DL90" i="4"/>
  <c r="DM90" i="4"/>
  <c r="DN90" i="4"/>
  <c r="CQ91" i="4"/>
  <c r="CR91" i="4"/>
  <c r="CS91" i="4"/>
  <c r="CT91" i="4"/>
  <c r="CU91" i="4"/>
  <c r="CV91" i="4"/>
  <c r="CW91" i="4"/>
  <c r="CX91" i="4"/>
  <c r="CY91" i="4"/>
  <c r="CZ91" i="4"/>
  <c r="DA91" i="4"/>
  <c r="DB91" i="4"/>
  <c r="DC91" i="4"/>
  <c r="DD91" i="4"/>
  <c r="DE91" i="4"/>
  <c r="DF91" i="4"/>
  <c r="DG91" i="4"/>
  <c r="DH91" i="4"/>
  <c r="DI91" i="4"/>
  <c r="DJ91" i="4"/>
  <c r="DK91" i="4"/>
  <c r="DL91" i="4"/>
  <c r="DM91" i="4"/>
  <c r="DN91" i="4"/>
  <c r="CQ94" i="4"/>
  <c r="CR94" i="4"/>
  <c r="CS94" i="4"/>
  <c r="CT94" i="4"/>
  <c r="CU94" i="4"/>
  <c r="CV94" i="4"/>
  <c r="CW94" i="4"/>
  <c r="CX94" i="4"/>
  <c r="CY94" i="4"/>
  <c r="CZ94" i="4"/>
  <c r="DA94" i="4"/>
  <c r="DB94" i="4"/>
  <c r="DC94" i="4"/>
  <c r="DD94" i="4"/>
  <c r="DE94" i="4"/>
  <c r="DF94" i="4"/>
  <c r="DG94" i="4"/>
  <c r="DH94" i="4"/>
  <c r="DI94" i="4"/>
  <c r="DJ94" i="4"/>
  <c r="DK94" i="4"/>
  <c r="DL94" i="4"/>
  <c r="DM94" i="4"/>
  <c r="DN94" i="4"/>
  <c r="CQ95" i="4"/>
  <c r="CR95" i="4"/>
  <c r="CS95" i="4"/>
  <c r="CT95" i="4"/>
  <c r="CU95" i="4"/>
  <c r="CV95" i="4"/>
  <c r="CW95" i="4"/>
  <c r="CX95" i="4"/>
  <c r="CY95" i="4"/>
  <c r="CZ95" i="4"/>
  <c r="DA95" i="4"/>
  <c r="DB95" i="4"/>
  <c r="DC95" i="4"/>
  <c r="DD95" i="4"/>
  <c r="DE95" i="4"/>
  <c r="DF95" i="4"/>
  <c r="DG95" i="4"/>
  <c r="DH95" i="4"/>
  <c r="DI95" i="4"/>
  <c r="DJ95" i="4"/>
  <c r="DK95" i="4"/>
  <c r="DL95" i="4"/>
  <c r="DM95" i="4"/>
  <c r="DN95" i="4"/>
  <c r="CQ96" i="4"/>
  <c r="CR96" i="4"/>
  <c r="CS96" i="4"/>
  <c r="CT96" i="4"/>
  <c r="CU96" i="4"/>
  <c r="CV96" i="4"/>
  <c r="CW96" i="4"/>
  <c r="CX96" i="4"/>
  <c r="CY96" i="4"/>
  <c r="CZ96" i="4"/>
  <c r="DA96" i="4"/>
  <c r="DB96" i="4"/>
  <c r="DC96" i="4"/>
  <c r="DD96" i="4"/>
  <c r="DE96" i="4"/>
  <c r="DF96" i="4"/>
  <c r="DG96" i="4"/>
  <c r="DH96" i="4"/>
  <c r="DI96" i="4"/>
  <c r="DJ96" i="4"/>
  <c r="DK96" i="4"/>
  <c r="DL96" i="4"/>
  <c r="DM96" i="4"/>
  <c r="DN96" i="4"/>
  <c r="CQ97" i="4"/>
  <c r="CR97" i="4"/>
  <c r="CS97" i="4"/>
  <c r="CT97" i="4"/>
  <c r="CU97" i="4"/>
  <c r="CV97" i="4"/>
  <c r="CW97" i="4"/>
  <c r="CX97" i="4"/>
  <c r="CY97" i="4"/>
  <c r="CZ97" i="4"/>
  <c r="DA97" i="4"/>
  <c r="DB97" i="4"/>
  <c r="DC97" i="4"/>
  <c r="DD97" i="4"/>
  <c r="DE97" i="4"/>
  <c r="DF97" i="4"/>
  <c r="DG97" i="4"/>
  <c r="DH97" i="4"/>
  <c r="DI97" i="4"/>
  <c r="DJ97" i="4"/>
  <c r="DK97" i="4"/>
  <c r="DL97" i="4"/>
  <c r="DM97" i="4"/>
  <c r="DN97" i="4"/>
  <c r="CQ98" i="4"/>
  <c r="CR98" i="4"/>
  <c r="CS98" i="4"/>
  <c r="CT98" i="4"/>
  <c r="CU98" i="4"/>
  <c r="CV98" i="4"/>
  <c r="CW98" i="4"/>
  <c r="CX98" i="4"/>
  <c r="CY98" i="4"/>
  <c r="CZ98" i="4"/>
  <c r="DA98" i="4"/>
  <c r="DB98" i="4"/>
  <c r="DC98" i="4"/>
  <c r="DD98" i="4"/>
  <c r="DE98" i="4"/>
  <c r="DF98" i="4"/>
  <c r="DG98" i="4"/>
  <c r="DH98" i="4"/>
  <c r="DI98" i="4"/>
  <c r="DJ98" i="4"/>
  <c r="DK98" i="4"/>
  <c r="DL98" i="4"/>
  <c r="DM98" i="4"/>
  <c r="DN98" i="4"/>
  <c r="CQ99" i="4"/>
  <c r="CR99" i="4"/>
  <c r="CS99" i="4"/>
  <c r="CT99" i="4"/>
  <c r="CU99" i="4"/>
  <c r="CV99" i="4"/>
  <c r="CW99" i="4"/>
  <c r="CX99" i="4"/>
  <c r="CY99" i="4"/>
  <c r="CZ99" i="4"/>
  <c r="DA99" i="4"/>
  <c r="DB99" i="4"/>
  <c r="DC99" i="4"/>
  <c r="DD99" i="4"/>
  <c r="DE99" i="4"/>
  <c r="DF99" i="4"/>
  <c r="DG99" i="4"/>
  <c r="DH99" i="4"/>
  <c r="DI99" i="4"/>
  <c r="DJ99" i="4"/>
  <c r="DK99" i="4"/>
  <c r="DL99" i="4"/>
  <c r="DM99" i="4"/>
  <c r="DN99" i="4"/>
  <c r="CQ100" i="4"/>
  <c r="CR100" i="4"/>
  <c r="CS100" i="4"/>
  <c r="CT100" i="4"/>
  <c r="CU100" i="4"/>
  <c r="CV100" i="4"/>
  <c r="CW100" i="4"/>
  <c r="CX100" i="4"/>
  <c r="CY100" i="4"/>
  <c r="CZ100" i="4"/>
  <c r="DA100" i="4"/>
  <c r="DB100" i="4"/>
  <c r="DC100" i="4"/>
  <c r="DD100" i="4"/>
  <c r="DE100" i="4"/>
  <c r="DF100" i="4"/>
  <c r="DG100" i="4"/>
  <c r="DH100" i="4"/>
  <c r="DI100" i="4"/>
  <c r="DJ100" i="4"/>
  <c r="DK100" i="4"/>
  <c r="DL100" i="4"/>
  <c r="DM100" i="4"/>
  <c r="DN100" i="4"/>
  <c r="CQ102" i="4"/>
  <c r="CR102" i="4"/>
  <c r="CS102" i="4"/>
  <c r="CT102" i="4"/>
  <c r="CU102" i="4"/>
  <c r="CV102" i="4"/>
  <c r="CW102" i="4"/>
  <c r="CX102" i="4"/>
  <c r="CY102" i="4"/>
  <c r="CZ102" i="4"/>
  <c r="DA102" i="4"/>
  <c r="DB102" i="4"/>
  <c r="DC102" i="4"/>
  <c r="DD102" i="4"/>
  <c r="DE102" i="4"/>
  <c r="DF102" i="4"/>
  <c r="DG102" i="4"/>
  <c r="DH102" i="4"/>
  <c r="DI102" i="4"/>
  <c r="DJ102" i="4"/>
  <c r="DK102" i="4"/>
  <c r="DL102" i="4"/>
  <c r="DM102" i="4"/>
  <c r="DN102" i="4"/>
  <c r="CQ103" i="4"/>
  <c r="CR103" i="4"/>
  <c r="CS103" i="4"/>
  <c r="CT103" i="4"/>
  <c r="CU103" i="4"/>
  <c r="CV103" i="4"/>
  <c r="CW103" i="4"/>
  <c r="CX103" i="4"/>
  <c r="CY103" i="4"/>
  <c r="CZ103" i="4"/>
  <c r="DA103" i="4"/>
  <c r="DB103" i="4"/>
  <c r="DC103" i="4"/>
  <c r="DD103" i="4"/>
  <c r="DE103" i="4"/>
  <c r="DF103" i="4"/>
  <c r="DG103" i="4"/>
  <c r="DH103" i="4"/>
  <c r="DI103" i="4"/>
  <c r="DJ103" i="4"/>
  <c r="DK103" i="4"/>
  <c r="DL103" i="4"/>
  <c r="DM103" i="4"/>
  <c r="DN103" i="4"/>
  <c r="CQ106" i="4"/>
  <c r="CR106" i="4"/>
  <c r="CS106" i="4"/>
  <c r="CT106" i="4"/>
  <c r="CU106" i="4"/>
  <c r="CV106" i="4"/>
  <c r="CW106" i="4"/>
  <c r="CX106" i="4"/>
  <c r="CY106" i="4"/>
  <c r="CZ106" i="4"/>
  <c r="DA106" i="4"/>
  <c r="DB106" i="4"/>
  <c r="DC106" i="4"/>
  <c r="DD106" i="4"/>
  <c r="DE106" i="4"/>
  <c r="DF106" i="4"/>
  <c r="DG106" i="4"/>
  <c r="DH106" i="4"/>
  <c r="DI106" i="4"/>
  <c r="DJ106" i="4"/>
  <c r="DK106" i="4"/>
  <c r="DL106" i="4"/>
  <c r="DM106" i="4"/>
  <c r="DN106" i="4"/>
  <c r="CQ107" i="4"/>
  <c r="CR107" i="4"/>
  <c r="CS107" i="4"/>
  <c r="CT107" i="4"/>
  <c r="CU107" i="4"/>
  <c r="CV107" i="4"/>
  <c r="CW107" i="4"/>
  <c r="CX107" i="4"/>
  <c r="CY107" i="4"/>
  <c r="CZ107" i="4"/>
  <c r="DA107" i="4"/>
  <c r="DB107" i="4"/>
  <c r="DC107" i="4"/>
  <c r="DD107" i="4"/>
  <c r="DE107" i="4"/>
  <c r="DF107" i="4"/>
  <c r="DG107" i="4"/>
  <c r="DH107" i="4"/>
  <c r="DI107" i="4"/>
  <c r="DJ107" i="4"/>
  <c r="DK107" i="4"/>
  <c r="DL107" i="4"/>
  <c r="DM107" i="4"/>
  <c r="DN107" i="4"/>
  <c r="CQ108" i="4"/>
  <c r="CR108" i="4"/>
  <c r="CS108" i="4"/>
  <c r="CT108" i="4"/>
  <c r="CU108" i="4"/>
  <c r="CV108" i="4"/>
  <c r="CW108" i="4"/>
  <c r="CX108" i="4"/>
  <c r="CY108" i="4"/>
  <c r="CZ108" i="4"/>
  <c r="DA108" i="4"/>
  <c r="DB108" i="4"/>
  <c r="DC108" i="4"/>
  <c r="DD108" i="4"/>
  <c r="DE108" i="4"/>
  <c r="DF108" i="4"/>
  <c r="DG108" i="4"/>
  <c r="DH108" i="4"/>
  <c r="DI108" i="4"/>
  <c r="DJ108" i="4"/>
  <c r="DK108" i="4"/>
  <c r="DL108" i="4"/>
  <c r="DM108" i="4"/>
  <c r="DN108" i="4"/>
  <c r="CQ109" i="4"/>
  <c r="CR109" i="4"/>
  <c r="CS109" i="4"/>
  <c r="CT109" i="4"/>
  <c r="CU109" i="4"/>
  <c r="CV109" i="4"/>
  <c r="CW109" i="4"/>
  <c r="CX109" i="4"/>
  <c r="CY109" i="4"/>
  <c r="CZ109" i="4"/>
  <c r="DA109" i="4"/>
  <c r="DB109" i="4"/>
  <c r="DC109" i="4"/>
  <c r="DD109" i="4"/>
  <c r="DE109" i="4"/>
  <c r="DF109" i="4"/>
  <c r="DG109" i="4"/>
  <c r="DH109" i="4"/>
  <c r="DI109" i="4"/>
  <c r="DJ109" i="4"/>
  <c r="DK109" i="4"/>
  <c r="DL109" i="4"/>
  <c r="DM109" i="4"/>
  <c r="DN109" i="4"/>
  <c r="CQ111" i="4"/>
  <c r="CR111" i="4"/>
  <c r="CS111" i="4"/>
  <c r="CT111" i="4"/>
  <c r="CU111" i="4"/>
  <c r="CV111" i="4"/>
  <c r="CW111" i="4"/>
  <c r="CX111" i="4"/>
  <c r="CY111" i="4"/>
  <c r="CZ111" i="4"/>
  <c r="DA111" i="4"/>
  <c r="DB111" i="4"/>
  <c r="DC111" i="4"/>
  <c r="DD111" i="4"/>
  <c r="DE111" i="4"/>
  <c r="DF111" i="4"/>
  <c r="DG111" i="4"/>
  <c r="DH111" i="4"/>
  <c r="DI111" i="4"/>
  <c r="DJ111" i="4"/>
  <c r="DK111" i="4"/>
  <c r="DL111" i="4"/>
  <c r="DM111" i="4"/>
  <c r="DN111" i="4"/>
  <c r="CQ112" i="4"/>
  <c r="CR112" i="4"/>
  <c r="CS112" i="4"/>
  <c r="CT112" i="4"/>
  <c r="CU112" i="4"/>
  <c r="CV112" i="4"/>
  <c r="CW112" i="4"/>
  <c r="CX112" i="4"/>
  <c r="CY112" i="4"/>
  <c r="CZ112" i="4"/>
  <c r="DA112" i="4"/>
  <c r="DB112" i="4"/>
  <c r="DC112" i="4"/>
  <c r="DD112" i="4"/>
  <c r="DE112" i="4"/>
  <c r="DF112" i="4"/>
  <c r="DG112" i="4"/>
  <c r="DH112" i="4"/>
  <c r="DI112" i="4"/>
  <c r="DJ112" i="4"/>
  <c r="DK112" i="4"/>
  <c r="DL112" i="4"/>
  <c r="DM112" i="4"/>
  <c r="DN112" i="4"/>
  <c r="CQ114" i="4"/>
  <c r="CR114" i="4"/>
  <c r="CS114" i="4"/>
  <c r="CT114" i="4"/>
  <c r="CU114" i="4"/>
  <c r="CV114" i="4"/>
  <c r="CW114" i="4"/>
  <c r="CX114" i="4"/>
  <c r="CY114" i="4"/>
  <c r="CZ114" i="4"/>
  <c r="DA114" i="4"/>
  <c r="DB114" i="4"/>
  <c r="DC114" i="4"/>
  <c r="DD114" i="4"/>
  <c r="DE114" i="4"/>
  <c r="DF114" i="4"/>
  <c r="DG114" i="4"/>
  <c r="DH114" i="4"/>
  <c r="DI114" i="4"/>
  <c r="DJ114" i="4"/>
  <c r="DK114" i="4"/>
  <c r="DL114" i="4"/>
  <c r="DM114" i="4"/>
  <c r="DN114" i="4"/>
  <c r="CQ115" i="4"/>
  <c r="CR115" i="4"/>
  <c r="CS115" i="4"/>
  <c r="CT115" i="4"/>
  <c r="CU115" i="4"/>
  <c r="CV115" i="4"/>
  <c r="CW115" i="4"/>
  <c r="CX115" i="4"/>
  <c r="CY115" i="4"/>
  <c r="CZ115" i="4"/>
  <c r="DA115" i="4"/>
  <c r="DB115" i="4"/>
  <c r="DC115" i="4"/>
  <c r="DD115" i="4"/>
  <c r="DE115" i="4"/>
  <c r="DF115" i="4"/>
  <c r="DG115" i="4"/>
  <c r="DH115" i="4"/>
  <c r="DI115" i="4"/>
  <c r="DJ115" i="4"/>
  <c r="DK115" i="4"/>
  <c r="DL115" i="4"/>
  <c r="DM115" i="4"/>
  <c r="DN115" i="4"/>
  <c r="CQ116" i="4"/>
  <c r="CR116" i="4"/>
  <c r="CS116" i="4"/>
  <c r="CT116" i="4"/>
  <c r="CU116" i="4"/>
  <c r="CV116" i="4"/>
  <c r="CW116" i="4"/>
  <c r="CX116" i="4"/>
  <c r="CY116" i="4"/>
  <c r="CZ116" i="4"/>
  <c r="DA116" i="4"/>
  <c r="DB116" i="4"/>
  <c r="DC116" i="4"/>
  <c r="DD116" i="4"/>
  <c r="DE116" i="4"/>
  <c r="DF116" i="4"/>
  <c r="DG116" i="4"/>
  <c r="DH116" i="4"/>
  <c r="DI116" i="4"/>
  <c r="DJ116" i="4"/>
  <c r="DK116" i="4"/>
  <c r="DL116" i="4"/>
  <c r="DM116" i="4"/>
  <c r="DN116" i="4"/>
  <c r="CQ117" i="4"/>
  <c r="CR117" i="4"/>
  <c r="CS117" i="4"/>
  <c r="CT117" i="4"/>
  <c r="CU117" i="4"/>
  <c r="CV117" i="4"/>
  <c r="CW117" i="4"/>
  <c r="CX117" i="4"/>
  <c r="CY117" i="4"/>
  <c r="CZ117" i="4"/>
  <c r="DA117" i="4"/>
  <c r="DB117" i="4"/>
  <c r="DC117" i="4"/>
  <c r="DD117" i="4"/>
  <c r="DE117" i="4"/>
  <c r="DF117" i="4"/>
  <c r="DG117" i="4"/>
  <c r="DH117" i="4"/>
  <c r="DI117" i="4"/>
  <c r="DJ117" i="4"/>
  <c r="DK117" i="4"/>
  <c r="DL117" i="4"/>
  <c r="DM117" i="4"/>
  <c r="DN117" i="4"/>
  <c r="CQ118" i="4"/>
  <c r="CR118" i="4"/>
  <c r="CS118" i="4"/>
  <c r="CT118" i="4"/>
  <c r="CU118" i="4"/>
  <c r="CV118" i="4"/>
  <c r="CW118" i="4"/>
  <c r="CX118" i="4"/>
  <c r="CY118" i="4"/>
  <c r="CZ118" i="4"/>
  <c r="DA118" i="4"/>
  <c r="DB118" i="4"/>
  <c r="DC118" i="4"/>
  <c r="DD118" i="4"/>
  <c r="DE118" i="4"/>
  <c r="DF118" i="4"/>
  <c r="DG118" i="4"/>
  <c r="DH118" i="4"/>
  <c r="DI118" i="4"/>
  <c r="DJ118" i="4"/>
  <c r="DK118" i="4"/>
  <c r="DL118" i="4"/>
  <c r="DM118" i="4"/>
  <c r="DN118" i="4"/>
  <c r="CQ119" i="4"/>
  <c r="CR119" i="4"/>
  <c r="CS119" i="4"/>
  <c r="CT119" i="4"/>
  <c r="CU119" i="4"/>
  <c r="CV119" i="4"/>
  <c r="CW119" i="4"/>
  <c r="CX119" i="4"/>
  <c r="CY119" i="4"/>
  <c r="CZ119" i="4"/>
  <c r="DA119" i="4"/>
  <c r="DB119" i="4"/>
  <c r="DC119" i="4"/>
  <c r="DD119" i="4"/>
  <c r="DE119" i="4"/>
  <c r="DF119" i="4"/>
  <c r="DG119" i="4"/>
  <c r="DH119" i="4"/>
  <c r="DI119" i="4"/>
  <c r="DJ119" i="4"/>
  <c r="DK119" i="4"/>
  <c r="DL119" i="4"/>
  <c r="DM119" i="4"/>
  <c r="DN119" i="4"/>
  <c r="CQ120" i="4"/>
  <c r="CR120" i="4"/>
  <c r="CS120" i="4"/>
  <c r="CT120" i="4"/>
  <c r="CU120" i="4"/>
  <c r="CV120" i="4"/>
  <c r="CW120" i="4"/>
  <c r="CX120" i="4"/>
  <c r="CY120" i="4"/>
  <c r="CZ120" i="4"/>
  <c r="DA120" i="4"/>
  <c r="DB120" i="4"/>
  <c r="DC120" i="4"/>
  <c r="DD120" i="4"/>
  <c r="DE120" i="4"/>
  <c r="DF120" i="4"/>
  <c r="DG120" i="4"/>
  <c r="DH120" i="4"/>
  <c r="DI120" i="4"/>
  <c r="DJ120" i="4"/>
  <c r="DK120" i="4"/>
  <c r="DL120" i="4"/>
  <c r="DM120" i="4"/>
  <c r="DN120" i="4"/>
  <c r="CQ121" i="4"/>
  <c r="CR121" i="4"/>
  <c r="CS121" i="4"/>
  <c r="CT121" i="4"/>
  <c r="CU121" i="4"/>
  <c r="CV121" i="4"/>
  <c r="CW121" i="4"/>
  <c r="CX121" i="4"/>
  <c r="CY121" i="4"/>
  <c r="CZ121" i="4"/>
  <c r="DA121" i="4"/>
  <c r="DB121" i="4"/>
  <c r="DC121" i="4"/>
  <c r="DD121" i="4"/>
  <c r="DE121" i="4"/>
  <c r="DF121" i="4"/>
  <c r="DG121" i="4"/>
  <c r="DH121" i="4"/>
  <c r="DI121" i="4"/>
  <c r="DJ121" i="4"/>
  <c r="DK121" i="4"/>
  <c r="DL121" i="4"/>
  <c r="DM121" i="4"/>
  <c r="DN121" i="4"/>
  <c r="CQ122" i="4"/>
  <c r="CR122" i="4"/>
  <c r="CS122" i="4"/>
  <c r="CT122" i="4"/>
  <c r="CU122" i="4"/>
  <c r="CV122" i="4"/>
  <c r="CW122" i="4"/>
  <c r="CX122" i="4"/>
  <c r="CY122" i="4"/>
  <c r="CZ122" i="4"/>
  <c r="DA122" i="4"/>
  <c r="DB122" i="4"/>
  <c r="DC122" i="4"/>
  <c r="DD122" i="4"/>
  <c r="DE122" i="4"/>
  <c r="DF122" i="4"/>
  <c r="DG122" i="4"/>
  <c r="DH122" i="4"/>
  <c r="DI122" i="4"/>
  <c r="DJ122" i="4"/>
  <c r="DK122" i="4"/>
  <c r="DL122" i="4"/>
  <c r="DM122" i="4"/>
  <c r="DN122" i="4"/>
  <c r="CQ123" i="4"/>
  <c r="CR123" i="4"/>
  <c r="CS123" i="4"/>
  <c r="CT123" i="4"/>
  <c r="CU123" i="4"/>
  <c r="CV123" i="4"/>
  <c r="CW123" i="4"/>
  <c r="CX123" i="4"/>
  <c r="CY123" i="4"/>
  <c r="CZ123" i="4"/>
  <c r="DA123" i="4"/>
  <c r="DB123" i="4"/>
  <c r="DC123" i="4"/>
  <c r="DD123" i="4"/>
  <c r="DE123" i="4"/>
  <c r="DF123" i="4"/>
  <c r="DG123" i="4"/>
  <c r="DH123" i="4"/>
  <c r="DI123" i="4"/>
  <c r="DJ123" i="4"/>
  <c r="DK123" i="4"/>
  <c r="DL123" i="4"/>
  <c r="DM123" i="4"/>
  <c r="DN123" i="4"/>
  <c r="CQ124" i="4"/>
  <c r="CR124" i="4"/>
  <c r="CS124" i="4"/>
  <c r="CT124" i="4"/>
  <c r="CU124" i="4"/>
  <c r="CV124" i="4"/>
  <c r="CW124" i="4"/>
  <c r="CX124" i="4"/>
  <c r="CY124" i="4"/>
  <c r="CZ124" i="4"/>
  <c r="DA124" i="4"/>
  <c r="DB124" i="4"/>
  <c r="DC124" i="4"/>
  <c r="DD124" i="4"/>
  <c r="DE124" i="4"/>
  <c r="DF124" i="4"/>
  <c r="DG124" i="4"/>
  <c r="DH124" i="4"/>
  <c r="DI124" i="4"/>
  <c r="DJ124" i="4"/>
  <c r="DK124" i="4"/>
  <c r="DL124" i="4"/>
  <c r="DM124" i="4"/>
  <c r="DN124" i="4"/>
  <c r="CQ125" i="4"/>
  <c r="CR125" i="4"/>
  <c r="CS125" i="4"/>
  <c r="CT125" i="4"/>
  <c r="CU125" i="4"/>
  <c r="CV125" i="4"/>
  <c r="CW125" i="4"/>
  <c r="CX125" i="4"/>
  <c r="CY125" i="4"/>
  <c r="CZ125" i="4"/>
  <c r="DA125" i="4"/>
  <c r="DB125" i="4"/>
  <c r="DC125" i="4"/>
  <c r="DD125" i="4"/>
  <c r="DE125" i="4"/>
  <c r="DF125" i="4"/>
  <c r="DG125" i="4"/>
  <c r="DH125" i="4"/>
  <c r="DI125" i="4"/>
  <c r="DJ125" i="4"/>
  <c r="DK125" i="4"/>
  <c r="DL125" i="4"/>
  <c r="DM125" i="4"/>
  <c r="DN125" i="4"/>
  <c r="CQ126" i="4"/>
  <c r="CR126" i="4"/>
  <c r="CS126" i="4"/>
  <c r="CT126" i="4"/>
  <c r="CU126" i="4"/>
  <c r="CV126" i="4"/>
  <c r="CW126" i="4"/>
  <c r="CX126" i="4"/>
  <c r="CY126" i="4"/>
  <c r="CZ126" i="4"/>
  <c r="DA126" i="4"/>
  <c r="DB126" i="4"/>
  <c r="DC126" i="4"/>
  <c r="DD126" i="4"/>
  <c r="DE126" i="4"/>
  <c r="DF126" i="4"/>
  <c r="DG126" i="4"/>
  <c r="DH126" i="4"/>
  <c r="DI126" i="4"/>
  <c r="DJ126" i="4"/>
  <c r="DK126" i="4"/>
  <c r="DL126" i="4"/>
  <c r="DM126" i="4"/>
  <c r="DN126" i="4"/>
  <c r="CJ5" i="4"/>
  <c r="CK5" i="4"/>
  <c r="CL5" i="4"/>
  <c r="CM5" i="4"/>
  <c r="CN5" i="4"/>
  <c r="CO5" i="4"/>
  <c r="CP5" i="4"/>
  <c r="CJ6" i="4"/>
  <c r="CK6" i="4"/>
  <c r="CL6" i="4"/>
  <c r="CM6" i="4"/>
  <c r="CN6" i="4"/>
  <c r="CO6" i="4"/>
  <c r="CP6" i="4"/>
  <c r="CJ7" i="4"/>
  <c r="CL7" i="4"/>
  <c r="CM7" i="4"/>
  <c r="CN7" i="4"/>
  <c r="CO7" i="4"/>
  <c r="CP7" i="4"/>
  <c r="CJ8" i="4"/>
  <c r="CK8" i="4"/>
  <c r="CL8" i="4"/>
  <c r="CM8" i="4"/>
  <c r="CN8" i="4"/>
  <c r="CO8" i="4"/>
  <c r="CP8" i="4"/>
  <c r="CJ9" i="4"/>
  <c r="CK9" i="4"/>
  <c r="CL9" i="4"/>
  <c r="CM9" i="4"/>
  <c r="CN9" i="4"/>
  <c r="CO9" i="4"/>
  <c r="CP9" i="4"/>
  <c r="CJ10" i="4"/>
  <c r="CK10" i="4"/>
  <c r="CL10" i="4"/>
  <c r="CM10" i="4"/>
  <c r="CN10" i="4"/>
  <c r="CO10" i="4"/>
  <c r="CP10" i="4"/>
  <c r="CJ13" i="4"/>
  <c r="CK13" i="4"/>
  <c r="CL13" i="4"/>
  <c r="CM13" i="4"/>
  <c r="CN13" i="4"/>
  <c r="CO13" i="4"/>
  <c r="CP13" i="4"/>
  <c r="CJ14" i="4"/>
  <c r="CK14" i="4"/>
  <c r="CL14" i="4"/>
  <c r="CM14" i="4"/>
  <c r="CN14" i="4"/>
  <c r="CO14" i="4"/>
  <c r="CP14" i="4"/>
  <c r="CJ16" i="4"/>
  <c r="CK16" i="4"/>
  <c r="CL16" i="4"/>
  <c r="CM16" i="4"/>
  <c r="CN16" i="4"/>
  <c r="CO16" i="4"/>
  <c r="CP16" i="4"/>
  <c r="CJ17" i="4"/>
  <c r="CK17" i="4"/>
  <c r="CL17" i="4"/>
  <c r="CM17" i="4"/>
  <c r="CN17" i="4"/>
  <c r="CO17" i="4"/>
  <c r="CP17" i="4"/>
  <c r="CJ19" i="4"/>
  <c r="CK19" i="4"/>
  <c r="CL19" i="4"/>
  <c r="CM19" i="4"/>
  <c r="CN19" i="4"/>
  <c r="CO19" i="4"/>
  <c r="CP19" i="4"/>
  <c r="CJ20" i="4"/>
  <c r="CK20" i="4"/>
  <c r="CL20" i="4"/>
  <c r="CM20" i="4"/>
  <c r="CN20" i="4"/>
  <c r="CO20" i="4"/>
  <c r="CP20" i="4"/>
  <c r="CJ21" i="4"/>
  <c r="CK21" i="4"/>
  <c r="CL21" i="4"/>
  <c r="CM21" i="4"/>
  <c r="CN21" i="4"/>
  <c r="CO21" i="4"/>
  <c r="CP21" i="4"/>
  <c r="CJ23" i="4"/>
  <c r="CK23" i="4"/>
  <c r="CL23" i="4"/>
  <c r="CM23" i="4"/>
  <c r="CN23" i="4"/>
  <c r="CO23" i="4"/>
  <c r="CP23" i="4"/>
  <c r="CJ24" i="4"/>
  <c r="CK24" i="4"/>
  <c r="CL24" i="4"/>
  <c r="CM24" i="4"/>
  <c r="CN24" i="4"/>
  <c r="CO24" i="4"/>
  <c r="CP24" i="4"/>
  <c r="CJ25" i="4"/>
  <c r="CK25" i="4"/>
  <c r="CL25" i="4"/>
  <c r="CM25" i="4"/>
  <c r="CN25" i="4"/>
  <c r="CO25" i="4"/>
  <c r="CP25" i="4"/>
  <c r="CJ26" i="4"/>
  <c r="CK26" i="4"/>
  <c r="CL26" i="4"/>
  <c r="CM26" i="4"/>
  <c r="CN26" i="4"/>
  <c r="CO26" i="4"/>
  <c r="CP26" i="4"/>
  <c r="CJ27" i="4"/>
  <c r="CK27" i="4"/>
  <c r="CL27" i="4"/>
  <c r="CM27" i="4"/>
  <c r="CN27" i="4"/>
  <c r="CO27" i="4"/>
  <c r="CP27" i="4"/>
  <c r="CJ29" i="4"/>
  <c r="CK29" i="4"/>
  <c r="CL29" i="4"/>
  <c r="CM29" i="4"/>
  <c r="CN29" i="4"/>
  <c r="CO29" i="4"/>
  <c r="CP29" i="4"/>
  <c r="CJ32" i="4"/>
  <c r="CK32" i="4"/>
  <c r="CL32" i="4"/>
  <c r="CM32" i="4"/>
  <c r="CN32" i="4"/>
  <c r="CO32" i="4"/>
  <c r="CP32" i="4"/>
  <c r="CJ33" i="4"/>
  <c r="CK33" i="4"/>
  <c r="CL33" i="4"/>
  <c r="CM33" i="4"/>
  <c r="CN33" i="4"/>
  <c r="CO33" i="4"/>
  <c r="CP33" i="4"/>
  <c r="CJ34" i="4"/>
  <c r="CK34" i="4"/>
  <c r="CL34" i="4"/>
  <c r="CM34" i="4"/>
  <c r="CN34" i="4"/>
  <c r="CO34" i="4"/>
  <c r="CP34" i="4"/>
  <c r="CJ35" i="4"/>
  <c r="CK35" i="4"/>
  <c r="CL35" i="4"/>
  <c r="CM35" i="4"/>
  <c r="CN35" i="4"/>
  <c r="CO35" i="4"/>
  <c r="CP35" i="4"/>
  <c r="CJ36" i="4"/>
  <c r="CK36" i="4"/>
  <c r="CL36" i="4"/>
  <c r="CM36" i="4"/>
  <c r="CN36" i="4"/>
  <c r="CO36" i="4"/>
  <c r="CP36" i="4"/>
  <c r="CJ37" i="4"/>
  <c r="CK37" i="4"/>
  <c r="CL37" i="4"/>
  <c r="CM37" i="4"/>
  <c r="CN37" i="4"/>
  <c r="CO37" i="4"/>
  <c r="CP37" i="4"/>
  <c r="CJ38" i="4"/>
  <c r="CK38" i="4"/>
  <c r="CL38" i="4"/>
  <c r="CM38" i="4"/>
  <c r="CN38" i="4"/>
  <c r="CO38" i="4"/>
  <c r="CP38" i="4"/>
  <c r="CJ39" i="4"/>
  <c r="CK39" i="4"/>
  <c r="CL39" i="4"/>
  <c r="CM39" i="4"/>
  <c r="CN39" i="4"/>
  <c r="CO39" i="4"/>
  <c r="CP39" i="4"/>
  <c r="CJ40" i="4"/>
  <c r="CK40" i="4"/>
  <c r="CL40" i="4"/>
  <c r="CM40" i="4"/>
  <c r="CN40" i="4"/>
  <c r="CO40" i="4"/>
  <c r="CP40" i="4"/>
  <c r="CJ41" i="4"/>
  <c r="CK41" i="4"/>
  <c r="CL41" i="4"/>
  <c r="CM41" i="4"/>
  <c r="CN41" i="4"/>
  <c r="CO41" i="4"/>
  <c r="CP41" i="4"/>
  <c r="CJ42" i="4"/>
  <c r="CK42" i="4"/>
  <c r="CL42" i="4"/>
  <c r="CM42" i="4"/>
  <c r="CN42" i="4"/>
  <c r="CO42" i="4"/>
  <c r="CP42" i="4"/>
  <c r="CJ43" i="4"/>
  <c r="CK43" i="4"/>
  <c r="CL43" i="4"/>
  <c r="CM43" i="4"/>
  <c r="CN43" i="4"/>
  <c r="CO43" i="4"/>
  <c r="CP43" i="4"/>
  <c r="CJ45" i="4"/>
  <c r="CK45" i="4"/>
  <c r="CL45" i="4"/>
  <c r="CM45" i="4"/>
  <c r="CN45" i="4"/>
  <c r="CO45" i="4"/>
  <c r="CP45" i="4"/>
  <c r="CJ46" i="4"/>
  <c r="CK46" i="4"/>
  <c r="CL46" i="4"/>
  <c r="CM46" i="4"/>
  <c r="CN46" i="4"/>
  <c r="CO46" i="4"/>
  <c r="CP46" i="4"/>
  <c r="CJ47" i="4"/>
  <c r="CK47" i="4"/>
  <c r="CL47" i="4"/>
  <c r="CM47" i="4"/>
  <c r="CN47" i="4"/>
  <c r="CO47" i="4"/>
  <c r="CP47" i="4"/>
  <c r="CJ49" i="4"/>
  <c r="CK49" i="4"/>
  <c r="CL49" i="4"/>
  <c r="CM49" i="4"/>
  <c r="CN49" i="4"/>
  <c r="CO49" i="4"/>
  <c r="CP49" i="4"/>
  <c r="CJ50" i="4"/>
  <c r="CK50" i="4"/>
  <c r="CL50" i="4"/>
  <c r="CM50" i="4"/>
  <c r="CN50" i="4"/>
  <c r="CO50" i="4"/>
  <c r="CP50" i="4"/>
  <c r="CJ51" i="4"/>
  <c r="CK51" i="4"/>
  <c r="CL51" i="4"/>
  <c r="CM51" i="4"/>
  <c r="CN51" i="4"/>
  <c r="CO51" i="4"/>
  <c r="CP51" i="4"/>
  <c r="CJ52" i="4"/>
  <c r="CK52" i="4"/>
  <c r="CL52" i="4"/>
  <c r="CM52" i="4"/>
  <c r="CN52" i="4"/>
  <c r="CO52" i="4"/>
  <c r="CP52" i="4"/>
  <c r="CJ53" i="4"/>
  <c r="CK53" i="4"/>
  <c r="CL53" i="4"/>
  <c r="CM53" i="4"/>
  <c r="CN53" i="4"/>
  <c r="CO53" i="4"/>
  <c r="CP53" i="4"/>
  <c r="CJ54" i="4"/>
  <c r="CK54" i="4"/>
  <c r="CL54" i="4"/>
  <c r="CM54" i="4"/>
  <c r="CN54" i="4"/>
  <c r="CO54" i="4"/>
  <c r="CP54" i="4"/>
  <c r="CJ57" i="4"/>
  <c r="CK57" i="4"/>
  <c r="CL57" i="4"/>
  <c r="CM57" i="4"/>
  <c r="CN57" i="4"/>
  <c r="CO57" i="4"/>
  <c r="CP57" i="4"/>
  <c r="CJ59" i="4"/>
  <c r="CK59" i="4"/>
  <c r="CL59" i="4"/>
  <c r="CM59" i="4"/>
  <c r="CN59" i="4"/>
  <c r="CO59" i="4"/>
  <c r="CP59" i="4"/>
  <c r="CJ60" i="4"/>
  <c r="CK60" i="4"/>
  <c r="CL60" i="4"/>
  <c r="CM60" i="4"/>
  <c r="CN60" i="4"/>
  <c r="CO60" i="4"/>
  <c r="CP60" i="4"/>
  <c r="CJ61" i="4"/>
  <c r="CK61" i="4"/>
  <c r="CL61" i="4"/>
  <c r="CM61" i="4"/>
  <c r="CN61" i="4"/>
  <c r="CO61" i="4"/>
  <c r="CP61" i="4"/>
  <c r="CJ62" i="4"/>
  <c r="CK62" i="4"/>
  <c r="CL62" i="4"/>
  <c r="CM62" i="4"/>
  <c r="CN62" i="4"/>
  <c r="CO62" i="4"/>
  <c r="CP62" i="4"/>
  <c r="CJ65" i="4"/>
  <c r="CK65" i="4"/>
  <c r="CL65" i="4"/>
  <c r="CM65" i="4"/>
  <c r="CN65" i="4"/>
  <c r="CO65" i="4"/>
  <c r="CP65" i="4"/>
  <c r="CJ66" i="4"/>
  <c r="CK66" i="4"/>
  <c r="CL66" i="4"/>
  <c r="CM66" i="4"/>
  <c r="CN66" i="4"/>
  <c r="CO66" i="4"/>
  <c r="CP66" i="4"/>
  <c r="CJ67" i="4"/>
  <c r="CK67" i="4"/>
  <c r="CL67" i="4"/>
  <c r="CM67" i="4"/>
  <c r="CN67" i="4"/>
  <c r="CO67" i="4"/>
  <c r="CP67" i="4"/>
  <c r="CJ69" i="4"/>
  <c r="CK69" i="4"/>
  <c r="CL69" i="4"/>
  <c r="CM69" i="4"/>
  <c r="CN69" i="4"/>
  <c r="CO69" i="4"/>
  <c r="CP69" i="4"/>
  <c r="CJ70" i="4"/>
  <c r="CK70" i="4"/>
  <c r="CL70" i="4"/>
  <c r="CM70" i="4"/>
  <c r="CN70" i="4"/>
  <c r="CO70" i="4"/>
  <c r="CP70" i="4"/>
  <c r="CJ72" i="4"/>
  <c r="CK72" i="4"/>
  <c r="CL72" i="4"/>
  <c r="CM72" i="4"/>
  <c r="CN72" i="4"/>
  <c r="CO72" i="4"/>
  <c r="CP72" i="4"/>
  <c r="CJ73" i="4"/>
  <c r="CK73" i="4"/>
  <c r="CL73" i="4"/>
  <c r="CM73" i="4"/>
  <c r="CN73" i="4"/>
  <c r="CO73" i="4"/>
  <c r="CP73" i="4"/>
  <c r="CJ74" i="4"/>
  <c r="CK74" i="4"/>
  <c r="CL74" i="4"/>
  <c r="CM74" i="4"/>
  <c r="CN74" i="4"/>
  <c r="CO74" i="4"/>
  <c r="CP74" i="4"/>
  <c r="CJ80" i="4"/>
  <c r="CK80" i="4"/>
  <c r="CL80" i="4"/>
  <c r="CM80" i="4"/>
  <c r="CN80" i="4"/>
  <c r="CO80" i="4"/>
  <c r="CP80" i="4"/>
  <c r="CJ81" i="4"/>
  <c r="CK81" i="4"/>
  <c r="CL81" i="4"/>
  <c r="CM81" i="4"/>
  <c r="CN81" i="4"/>
  <c r="CO81" i="4"/>
  <c r="CP81" i="4"/>
  <c r="CJ82" i="4"/>
  <c r="CK82" i="4"/>
  <c r="CL82" i="4"/>
  <c r="CM82" i="4"/>
  <c r="CN82" i="4"/>
  <c r="CO82" i="4"/>
  <c r="CP82" i="4"/>
  <c r="CJ83" i="4"/>
  <c r="CK83" i="4"/>
  <c r="CL83" i="4"/>
  <c r="CM83" i="4"/>
  <c r="CN83" i="4"/>
  <c r="CO83" i="4"/>
  <c r="CP83" i="4"/>
  <c r="CJ84" i="4"/>
  <c r="CK84" i="4"/>
  <c r="CL84" i="4"/>
  <c r="CM84" i="4"/>
  <c r="CN84" i="4"/>
  <c r="CO84" i="4"/>
  <c r="CP84" i="4"/>
  <c r="CJ85" i="4"/>
  <c r="CK85" i="4"/>
  <c r="CL85" i="4"/>
  <c r="CM85" i="4"/>
  <c r="CN85" i="4"/>
  <c r="CO85" i="4"/>
  <c r="CP85" i="4"/>
  <c r="CJ86" i="4"/>
  <c r="CK86" i="4"/>
  <c r="CL86" i="4"/>
  <c r="CM86" i="4"/>
  <c r="CN86" i="4"/>
  <c r="CO86" i="4"/>
  <c r="CP86" i="4"/>
  <c r="CJ87" i="4"/>
  <c r="CK87" i="4"/>
  <c r="CL87" i="4"/>
  <c r="CM87" i="4"/>
  <c r="CN87" i="4"/>
  <c r="CO87" i="4"/>
  <c r="CP87" i="4"/>
  <c r="CJ88" i="4"/>
  <c r="CK88" i="4"/>
  <c r="CL88" i="4"/>
  <c r="CM88" i="4"/>
  <c r="CN88" i="4"/>
  <c r="CO88" i="4"/>
  <c r="CP88" i="4"/>
  <c r="CJ89" i="4"/>
  <c r="CK89" i="4"/>
  <c r="CL89" i="4"/>
  <c r="CM89" i="4"/>
  <c r="CN89" i="4"/>
  <c r="CO89" i="4"/>
  <c r="CP89" i="4"/>
  <c r="CJ90" i="4"/>
  <c r="CK90" i="4"/>
  <c r="CL90" i="4"/>
  <c r="CM90" i="4"/>
  <c r="CN90" i="4"/>
  <c r="CO90" i="4"/>
  <c r="CP90" i="4"/>
  <c r="CJ91" i="4"/>
  <c r="CK91" i="4"/>
  <c r="CL91" i="4"/>
  <c r="CM91" i="4"/>
  <c r="CN91" i="4"/>
  <c r="CO91" i="4"/>
  <c r="CP91" i="4"/>
  <c r="CJ94" i="4"/>
  <c r="CK94" i="4"/>
  <c r="CL94" i="4"/>
  <c r="CM94" i="4"/>
  <c r="CN94" i="4"/>
  <c r="CO94" i="4"/>
  <c r="CP94" i="4"/>
  <c r="CJ95" i="4"/>
  <c r="CK95" i="4"/>
  <c r="CL95" i="4"/>
  <c r="CM95" i="4"/>
  <c r="CN95" i="4"/>
  <c r="CO95" i="4"/>
  <c r="CP95" i="4"/>
  <c r="CJ96" i="4"/>
  <c r="CK96" i="4"/>
  <c r="CL96" i="4"/>
  <c r="CM96" i="4"/>
  <c r="CN96" i="4"/>
  <c r="CO96" i="4"/>
  <c r="CP96" i="4"/>
  <c r="CJ97" i="4"/>
  <c r="CK97" i="4"/>
  <c r="CL97" i="4"/>
  <c r="CM97" i="4"/>
  <c r="CN97" i="4"/>
  <c r="CO97" i="4"/>
  <c r="CP97" i="4"/>
  <c r="CJ98" i="4"/>
  <c r="CK98" i="4"/>
  <c r="CL98" i="4"/>
  <c r="CM98" i="4"/>
  <c r="CN98" i="4"/>
  <c r="CO98" i="4"/>
  <c r="CP98" i="4"/>
  <c r="CJ99" i="4"/>
  <c r="CK99" i="4"/>
  <c r="CL99" i="4"/>
  <c r="CM99" i="4"/>
  <c r="CN99" i="4"/>
  <c r="CO99" i="4"/>
  <c r="CP99" i="4"/>
  <c r="CJ100" i="4"/>
  <c r="CK100" i="4"/>
  <c r="CL100" i="4"/>
  <c r="CM100" i="4"/>
  <c r="CN100" i="4"/>
  <c r="CO100" i="4"/>
  <c r="CP100" i="4"/>
  <c r="CJ102" i="4"/>
  <c r="CK102" i="4"/>
  <c r="CL102" i="4"/>
  <c r="CM102" i="4"/>
  <c r="CN102" i="4"/>
  <c r="CO102" i="4"/>
  <c r="CP102" i="4"/>
  <c r="CJ103" i="4"/>
  <c r="CK103" i="4"/>
  <c r="CL103" i="4"/>
  <c r="CM103" i="4"/>
  <c r="CN103" i="4"/>
  <c r="CO103" i="4"/>
  <c r="CP103" i="4"/>
  <c r="CJ106" i="4"/>
  <c r="CK106" i="4"/>
  <c r="CL106" i="4"/>
  <c r="CM106" i="4"/>
  <c r="CN106" i="4"/>
  <c r="CO106" i="4"/>
  <c r="CP106" i="4"/>
  <c r="CJ107" i="4"/>
  <c r="CK107" i="4"/>
  <c r="CL107" i="4"/>
  <c r="CM107" i="4"/>
  <c r="CN107" i="4"/>
  <c r="CO107" i="4"/>
  <c r="CP107" i="4"/>
  <c r="CJ108" i="4"/>
  <c r="CK108" i="4"/>
  <c r="CL108" i="4"/>
  <c r="CM108" i="4"/>
  <c r="CN108" i="4"/>
  <c r="CO108" i="4"/>
  <c r="CP108" i="4"/>
  <c r="CJ109" i="4"/>
  <c r="CK109" i="4"/>
  <c r="CL109" i="4"/>
  <c r="CM109" i="4"/>
  <c r="CN109" i="4"/>
  <c r="CO109" i="4"/>
  <c r="CP109" i="4"/>
  <c r="CJ111" i="4"/>
  <c r="CK111" i="4"/>
  <c r="CL111" i="4"/>
  <c r="CM111" i="4"/>
  <c r="CN111" i="4"/>
  <c r="CO111" i="4"/>
  <c r="CP111" i="4"/>
  <c r="CJ112" i="4"/>
  <c r="CK112" i="4"/>
  <c r="CL112" i="4"/>
  <c r="CM112" i="4"/>
  <c r="CN112" i="4"/>
  <c r="CO112" i="4"/>
  <c r="CP112" i="4"/>
  <c r="CJ114" i="4"/>
  <c r="CK114" i="4"/>
  <c r="CL114" i="4"/>
  <c r="CM114" i="4"/>
  <c r="CN114" i="4"/>
  <c r="CO114" i="4"/>
  <c r="CP114" i="4"/>
  <c r="CJ115" i="4"/>
  <c r="CK115" i="4"/>
  <c r="CL115" i="4"/>
  <c r="CM115" i="4"/>
  <c r="CN115" i="4"/>
  <c r="CO115" i="4"/>
  <c r="CP115" i="4"/>
  <c r="CJ116" i="4"/>
  <c r="CK116" i="4"/>
  <c r="CL116" i="4"/>
  <c r="CM116" i="4"/>
  <c r="CN116" i="4"/>
  <c r="CO116" i="4"/>
  <c r="CP116" i="4"/>
  <c r="CJ117" i="4"/>
  <c r="CK117" i="4"/>
  <c r="CL117" i="4"/>
  <c r="CM117" i="4"/>
  <c r="CN117" i="4"/>
  <c r="CO117" i="4"/>
  <c r="CP117" i="4"/>
  <c r="CJ118" i="4"/>
  <c r="CK118" i="4"/>
  <c r="CL118" i="4"/>
  <c r="CM118" i="4"/>
  <c r="CN118" i="4"/>
  <c r="CO118" i="4"/>
  <c r="CP118" i="4"/>
  <c r="CJ119" i="4"/>
  <c r="CK119" i="4"/>
  <c r="CL119" i="4"/>
  <c r="CM119" i="4"/>
  <c r="CN119" i="4"/>
  <c r="CO119" i="4"/>
  <c r="CP119" i="4"/>
  <c r="CJ120" i="4"/>
  <c r="CK120" i="4"/>
  <c r="CL120" i="4"/>
  <c r="CM120" i="4"/>
  <c r="CN120" i="4"/>
  <c r="CO120" i="4"/>
  <c r="CP120" i="4"/>
  <c r="CJ121" i="4"/>
  <c r="CK121" i="4"/>
  <c r="CL121" i="4"/>
  <c r="CM121" i="4"/>
  <c r="CN121" i="4"/>
  <c r="CO121" i="4"/>
  <c r="CP121" i="4"/>
  <c r="CJ122" i="4"/>
  <c r="CK122" i="4"/>
  <c r="CL122" i="4"/>
  <c r="CM122" i="4"/>
  <c r="CN122" i="4"/>
  <c r="CO122" i="4"/>
  <c r="CP122" i="4"/>
  <c r="CJ123" i="4"/>
  <c r="CK123" i="4"/>
  <c r="CL123" i="4"/>
  <c r="CM123" i="4"/>
  <c r="CN123" i="4"/>
  <c r="CO123" i="4"/>
  <c r="CP123" i="4"/>
  <c r="CJ124" i="4"/>
  <c r="CK124" i="4"/>
  <c r="CL124" i="4"/>
  <c r="CM124" i="4"/>
  <c r="CN124" i="4"/>
  <c r="CO124" i="4"/>
  <c r="CP124" i="4"/>
  <c r="CJ125" i="4"/>
  <c r="CK125" i="4"/>
  <c r="CL125" i="4"/>
  <c r="CM125" i="4"/>
  <c r="CN125" i="4"/>
  <c r="CO125" i="4"/>
  <c r="CP125" i="4"/>
  <c r="CJ126" i="4"/>
  <c r="CK126" i="4"/>
  <c r="CL126" i="4"/>
  <c r="CM126" i="4"/>
  <c r="CN126" i="4"/>
  <c r="CO126" i="4"/>
  <c r="CP126" i="4"/>
  <c r="AO14" i="1"/>
  <c r="AP14" i="1"/>
  <c r="AQ14" i="1"/>
  <c r="AR14" i="1"/>
  <c r="AS14" i="1"/>
  <c r="AT14" i="1"/>
  <c r="AU14" i="1"/>
  <c r="AV14" i="1"/>
  <c r="AW14" i="1"/>
  <c r="AX14" i="1"/>
  <c r="AY14" i="1"/>
  <c r="AZ14" i="1"/>
  <c r="BA14" i="1"/>
  <c r="BB14" i="1"/>
  <c r="BC14" i="1"/>
  <c r="BD14" i="1"/>
  <c r="BE14" i="1"/>
  <c r="BF14" i="1"/>
  <c r="BG14" i="1"/>
  <c r="BH14" i="1"/>
  <c r="BI14" i="1"/>
  <c r="BJ14" i="1"/>
  <c r="BK14" i="1"/>
  <c r="BL14" i="1"/>
  <c r="BM14" i="1"/>
  <c r="BN14" i="1"/>
  <c r="BO14" i="1"/>
  <c r="BP14" i="1"/>
  <c r="BQ14" i="1"/>
  <c r="BR14" i="1"/>
  <c r="DI2" i="4" l="1"/>
  <c r="DA2" i="4"/>
  <c r="CS2" i="4"/>
  <c r="CJ2" i="4"/>
  <c r="CO2" i="4"/>
  <c r="DK2" i="4"/>
  <c r="DG2" i="4"/>
  <c r="DC2" i="4"/>
  <c r="CY2" i="4"/>
  <c r="CU2" i="4"/>
  <c r="CQ2" i="4"/>
  <c r="CM2" i="4"/>
  <c r="DM2" i="4"/>
  <c r="DE2" i="4"/>
  <c r="CW2" i="4"/>
  <c r="CN2" i="4"/>
  <c r="DJ2" i="4"/>
  <c r="DF2" i="4"/>
  <c r="DB2" i="4"/>
  <c r="CX2" i="4"/>
  <c r="CT2" i="4"/>
  <c r="CP2" i="4"/>
  <c r="CL2" i="4"/>
  <c r="DL2" i="4"/>
  <c r="DH2" i="4"/>
  <c r="DD2" i="4"/>
  <c r="CZ2" i="4"/>
  <c r="CV2" i="4"/>
  <c r="CR2" i="4"/>
  <c r="AK2" i="4"/>
  <c r="BJ2" i="4"/>
  <c r="BF2" i="4"/>
  <c r="BB2" i="4"/>
  <c r="AX2" i="4"/>
  <c r="AT2" i="4"/>
  <c r="AP2" i="4"/>
  <c r="AM2" i="4"/>
  <c r="AI2" i="4"/>
  <c r="BI2" i="4"/>
  <c r="BE2" i="4"/>
  <c r="BA2" i="4"/>
  <c r="AW2" i="4"/>
  <c r="AS2" i="4"/>
  <c r="AO2" i="4"/>
  <c r="BK2" i="4"/>
  <c r="BG2" i="4"/>
  <c r="BC2" i="4"/>
  <c r="AY2" i="4"/>
  <c r="AU2" i="4"/>
  <c r="AQ2" i="4"/>
  <c r="AN2" i="4"/>
  <c r="AL2" i="4"/>
  <c r="BL2" i="4"/>
  <c r="BH2" i="4"/>
  <c r="BD2" i="4"/>
  <c r="AZ2" i="4"/>
  <c r="AV2" i="4"/>
  <c r="AR2" i="4"/>
  <c r="CI89" i="4"/>
  <c r="CH89" i="4"/>
  <c r="CG89" i="4"/>
  <c r="CF89" i="4"/>
  <c r="CE89" i="4"/>
  <c r="CD89" i="4"/>
  <c r="CC89" i="4"/>
  <c r="CB89" i="4"/>
  <c r="CA89" i="4"/>
  <c r="BZ89" i="4"/>
  <c r="BY89" i="4"/>
  <c r="BX89" i="4"/>
  <c r="BW89" i="4"/>
  <c r="BV89" i="4"/>
  <c r="BU89" i="4"/>
  <c r="BT89" i="4"/>
  <c r="BS89" i="4"/>
  <c r="BR89" i="4"/>
  <c r="N89" i="4"/>
  <c r="BP89" i="4" s="1"/>
  <c r="M89" i="4"/>
  <c r="F38" i="11"/>
  <c r="CI88" i="4"/>
  <c r="CH88" i="4"/>
  <c r="CG88" i="4"/>
  <c r="CF88" i="4"/>
  <c r="CE88" i="4"/>
  <c r="CD88" i="4"/>
  <c r="CC88" i="4"/>
  <c r="CB88" i="4"/>
  <c r="CA88" i="4"/>
  <c r="BZ88" i="4"/>
  <c r="BY88" i="4"/>
  <c r="BX88" i="4"/>
  <c r="BW88" i="4"/>
  <c r="BV88" i="4"/>
  <c r="BU88" i="4"/>
  <c r="BT88" i="4"/>
  <c r="BS88" i="4"/>
  <c r="BR88" i="4"/>
  <c r="N88" i="4"/>
  <c r="BP88" i="4" s="1"/>
  <c r="M88" i="4"/>
  <c r="F37" i="11"/>
  <c r="CI91" i="4"/>
  <c r="CH91" i="4"/>
  <c r="CG91" i="4"/>
  <c r="CF91" i="4"/>
  <c r="CE91" i="4"/>
  <c r="CD91" i="4"/>
  <c r="CC91" i="4"/>
  <c r="CB91" i="4"/>
  <c r="CA91" i="4"/>
  <c r="BZ91" i="4"/>
  <c r="BY91" i="4"/>
  <c r="BX91" i="4"/>
  <c r="BW91" i="4"/>
  <c r="BV91" i="4"/>
  <c r="BU91" i="4"/>
  <c r="BT91" i="4"/>
  <c r="BS91" i="4"/>
  <c r="BR91" i="4"/>
  <c r="N91" i="4"/>
  <c r="BP91" i="4" s="1"/>
  <c r="M91" i="4"/>
  <c r="F40" i="11"/>
  <c r="CI90" i="4"/>
  <c r="CH90" i="4"/>
  <c r="CG90" i="4"/>
  <c r="CF90" i="4"/>
  <c r="CE90" i="4"/>
  <c r="CD90" i="4"/>
  <c r="CC90" i="4"/>
  <c r="CB90" i="4"/>
  <c r="CA90" i="4"/>
  <c r="BZ90" i="4"/>
  <c r="BY90" i="4"/>
  <c r="BX90" i="4"/>
  <c r="BW90" i="4"/>
  <c r="BV90" i="4"/>
  <c r="BU90" i="4"/>
  <c r="BT90" i="4"/>
  <c r="BS90" i="4"/>
  <c r="BR90" i="4"/>
  <c r="N90" i="4"/>
  <c r="BP90" i="4" s="1"/>
  <c r="M90" i="4"/>
  <c r="F39" i="11"/>
  <c r="CI98" i="4"/>
  <c r="CH98" i="4"/>
  <c r="CG98" i="4"/>
  <c r="CF98" i="4"/>
  <c r="CE98" i="4"/>
  <c r="CD98" i="4"/>
  <c r="CC98" i="4"/>
  <c r="CB98" i="4"/>
  <c r="CA98" i="4"/>
  <c r="BZ98" i="4"/>
  <c r="BY98" i="4"/>
  <c r="BX98" i="4"/>
  <c r="BW98" i="4"/>
  <c r="BV98" i="4"/>
  <c r="BU98" i="4"/>
  <c r="BT98" i="4"/>
  <c r="BS98" i="4"/>
  <c r="BR98" i="4"/>
  <c r="BQ98" i="4"/>
  <c r="N98" i="4"/>
  <c r="BP98" i="4" s="1"/>
  <c r="M98" i="4"/>
  <c r="F47" i="11"/>
  <c r="CI99" i="4"/>
  <c r="CH99" i="4"/>
  <c r="CG99" i="4"/>
  <c r="CF99" i="4"/>
  <c r="CE99" i="4"/>
  <c r="CD99" i="4"/>
  <c r="CC99" i="4"/>
  <c r="CB99" i="4"/>
  <c r="CA99" i="4"/>
  <c r="BZ99" i="4"/>
  <c r="BY99" i="4"/>
  <c r="BX99" i="4"/>
  <c r="BW99" i="4"/>
  <c r="BV99" i="4"/>
  <c r="BU99" i="4"/>
  <c r="BT99" i="4"/>
  <c r="BS99" i="4"/>
  <c r="BR99" i="4"/>
  <c r="BQ99" i="4"/>
  <c r="N99" i="4"/>
  <c r="BP99" i="4" s="1"/>
  <c r="M99" i="4"/>
  <c r="F48" i="11"/>
  <c r="CI7" i="4"/>
  <c r="CH7" i="4"/>
  <c r="CG7" i="4"/>
  <c r="CF7" i="4"/>
  <c r="CE7" i="4"/>
  <c r="CD7" i="4"/>
  <c r="CC7" i="4"/>
  <c r="CB7" i="4"/>
  <c r="CA7" i="4"/>
  <c r="BZ7" i="4"/>
  <c r="BY7" i="4"/>
  <c r="BX7" i="4"/>
  <c r="BW7" i="4"/>
  <c r="BV7" i="4"/>
  <c r="BU7" i="4"/>
  <c r="BT7" i="4"/>
  <c r="BS7" i="4"/>
  <c r="BR7" i="4"/>
  <c r="BQ7" i="4"/>
  <c r="N7" i="4"/>
  <c r="BP7" i="4" s="1"/>
  <c r="M7" i="4"/>
  <c r="E7" i="4"/>
  <c r="B7" i="11" s="1"/>
  <c r="CI6" i="4"/>
  <c r="CH6" i="4"/>
  <c r="CG6" i="4"/>
  <c r="CF6" i="4"/>
  <c r="CE6" i="4"/>
  <c r="CD6" i="4"/>
  <c r="CC6" i="4"/>
  <c r="CB6" i="4"/>
  <c r="CA6" i="4"/>
  <c r="BZ6" i="4"/>
  <c r="BY6" i="4"/>
  <c r="BX6" i="4"/>
  <c r="BW6" i="4"/>
  <c r="BV6" i="4"/>
  <c r="BU6" i="4"/>
  <c r="BT6" i="4"/>
  <c r="BS6" i="4"/>
  <c r="BR6" i="4"/>
  <c r="BQ6" i="4"/>
  <c r="BP6" i="4"/>
  <c r="M6" i="4"/>
  <c r="E6" i="4"/>
  <c r="B6" i="11" s="1"/>
  <c r="CI117" i="4"/>
  <c r="CH117" i="4"/>
  <c r="CG117" i="4"/>
  <c r="CF117" i="4"/>
  <c r="CE117" i="4"/>
  <c r="CD117" i="4"/>
  <c r="CC117" i="4"/>
  <c r="CB117" i="4"/>
  <c r="CA117" i="4"/>
  <c r="BZ117" i="4"/>
  <c r="BY117" i="4"/>
  <c r="BX117" i="4"/>
  <c r="BW117" i="4"/>
  <c r="BV117" i="4"/>
  <c r="BU117" i="4"/>
  <c r="BT117" i="4"/>
  <c r="BS117" i="4"/>
  <c r="BR117" i="4"/>
  <c r="N117" i="4"/>
  <c r="BP117" i="4" s="1"/>
  <c r="M117" i="4"/>
  <c r="E117" i="4"/>
  <c r="H17" i="11" s="1"/>
  <c r="CI121" i="4"/>
  <c r="CH121" i="4"/>
  <c r="CG121" i="4"/>
  <c r="CF121" i="4"/>
  <c r="CE121" i="4"/>
  <c r="CD121" i="4"/>
  <c r="CC121" i="4"/>
  <c r="CB121" i="4"/>
  <c r="CA121" i="4"/>
  <c r="BZ121" i="4"/>
  <c r="BY121" i="4"/>
  <c r="BX121" i="4"/>
  <c r="BW121" i="4"/>
  <c r="BV121" i="4"/>
  <c r="BU121" i="4"/>
  <c r="BT121" i="4"/>
  <c r="BS121" i="4"/>
  <c r="BR121" i="4"/>
  <c r="BQ121" i="4"/>
  <c r="N121" i="4"/>
  <c r="BP121" i="4" s="1"/>
  <c r="M121" i="4"/>
  <c r="E121" i="4"/>
  <c r="H21" i="11" s="1"/>
  <c r="CI120" i="4"/>
  <c r="CH120" i="4"/>
  <c r="CG120" i="4"/>
  <c r="CF120" i="4"/>
  <c r="CE120" i="4"/>
  <c r="CD120" i="4"/>
  <c r="CC120" i="4"/>
  <c r="CB120" i="4"/>
  <c r="CA120" i="4"/>
  <c r="BZ120" i="4"/>
  <c r="BY120" i="4"/>
  <c r="BX120" i="4"/>
  <c r="BW120" i="4"/>
  <c r="BV120" i="4"/>
  <c r="BU120" i="4"/>
  <c r="BT120" i="4"/>
  <c r="BS120" i="4"/>
  <c r="BR120" i="4"/>
  <c r="N120" i="4"/>
  <c r="BP120" i="4" s="1"/>
  <c r="M120" i="4"/>
  <c r="E120" i="4"/>
  <c r="H20" i="11" s="1"/>
  <c r="CI108" i="4"/>
  <c r="CH108" i="4"/>
  <c r="CG108" i="4"/>
  <c r="CF108" i="4"/>
  <c r="CE108" i="4"/>
  <c r="CD108" i="4"/>
  <c r="CC108" i="4"/>
  <c r="CB108" i="4"/>
  <c r="CA108" i="4"/>
  <c r="BZ108" i="4"/>
  <c r="BY108" i="4"/>
  <c r="BX108" i="4"/>
  <c r="BW108" i="4"/>
  <c r="BV108" i="4"/>
  <c r="BU108" i="4"/>
  <c r="BT108" i="4"/>
  <c r="BS108" i="4"/>
  <c r="BR108" i="4"/>
  <c r="BQ108" i="4"/>
  <c r="N108" i="4"/>
  <c r="BP108" i="4" s="1"/>
  <c r="M108" i="4"/>
  <c r="E108" i="4"/>
  <c r="H8" i="11" s="1"/>
  <c r="CI70" i="4"/>
  <c r="CH70" i="4"/>
  <c r="CG70" i="4"/>
  <c r="CF70" i="4"/>
  <c r="CE70" i="4"/>
  <c r="CD70" i="4"/>
  <c r="CC70" i="4"/>
  <c r="CB70" i="4"/>
  <c r="CA70" i="4"/>
  <c r="BZ70" i="4"/>
  <c r="BY70" i="4"/>
  <c r="BX70" i="4"/>
  <c r="BW70" i="4"/>
  <c r="BV70" i="4"/>
  <c r="BU70" i="4"/>
  <c r="BT70" i="4"/>
  <c r="BS70" i="4"/>
  <c r="BR70" i="4"/>
  <c r="BQ70" i="4"/>
  <c r="N70" i="4"/>
  <c r="BP70" i="4" s="1"/>
  <c r="M70" i="4"/>
  <c r="F19" i="11"/>
  <c r="E70" i="4"/>
  <c r="E19" i="11" s="1"/>
  <c r="CI61" i="4"/>
  <c r="CH61" i="4"/>
  <c r="CG61" i="4"/>
  <c r="CF61" i="4"/>
  <c r="CE61" i="4"/>
  <c r="CD61" i="4"/>
  <c r="CC61" i="4"/>
  <c r="CB61" i="4"/>
  <c r="CA61" i="4"/>
  <c r="BZ61" i="4"/>
  <c r="BY61" i="4"/>
  <c r="BX61" i="4"/>
  <c r="BW61" i="4"/>
  <c r="BV61" i="4"/>
  <c r="BU61" i="4"/>
  <c r="BT61" i="4"/>
  <c r="BS61" i="4"/>
  <c r="N61" i="4"/>
  <c r="BP61" i="4" s="1"/>
  <c r="M61" i="4"/>
  <c r="F10" i="11"/>
  <c r="E61" i="4"/>
  <c r="E10" i="11" s="1"/>
  <c r="CI46" i="4"/>
  <c r="CH46" i="4"/>
  <c r="CG46" i="4"/>
  <c r="CF46" i="4"/>
  <c r="CE46" i="4"/>
  <c r="CD46" i="4"/>
  <c r="CC46" i="4"/>
  <c r="CB46" i="4"/>
  <c r="CA46" i="4"/>
  <c r="BZ46" i="4"/>
  <c r="BY46" i="4"/>
  <c r="BX46" i="4"/>
  <c r="BW46" i="4"/>
  <c r="BV46" i="4"/>
  <c r="BU46" i="4"/>
  <c r="BT46" i="4"/>
  <c r="BS46" i="4"/>
  <c r="N46" i="4"/>
  <c r="BP46" i="4" s="1"/>
  <c r="M46" i="4"/>
  <c r="C46" i="11"/>
  <c r="E46" i="4"/>
  <c r="B46" i="11" s="1"/>
  <c r="CI32" i="4"/>
  <c r="CH32" i="4"/>
  <c r="CG32" i="4"/>
  <c r="CF32" i="4"/>
  <c r="CE32" i="4"/>
  <c r="CD32" i="4"/>
  <c r="CC32" i="4"/>
  <c r="CB32" i="4"/>
  <c r="CA32" i="4"/>
  <c r="BZ32" i="4"/>
  <c r="BY32" i="4"/>
  <c r="BX32" i="4"/>
  <c r="BW32" i="4"/>
  <c r="BV32" i="4"/>
  <c r="BU32" i="4"/>
  <c r="N32" i="4"/>
  <c r="BP32" i="4" s="1"/>
  <c r="M32" i="4"/>
  <c r="J32" i="4" s="1"/>
  <c r="C32" i="11"/>
  <c r="E32" i="4"/>
  <c r="B32" i="11" s="1"/>
  <c r="CI33" i="4"/>
  <c r="CH33" i="4"/>
  <c r="CG33" i="4"/>
  <c r="CF33" i="4"/>
  <c r="CE33" i="4"/>
  <c r="CD33" i="4"/>
  <c r="CC33" i="4"/>
  <c r="CB33" i="4"/>
  <c r="CA33" i="4"/>
  <c r="BZ33" i="4"/>
  <c r="BY33" i="4"/>
  <c r="BX33" i="4"/>
  <c r="BW33" i="4"/>
  <c r="BV33" i="4"/>
  <c r="BU33" i="4"/>
  <c r="BT33" i="4"/>
  <c r="BS33" i="4"/>
  <c r="BR33" i="4"/>
  <c r="BQ33" i="4"/>
  <c r="N33" i="4"/>
  <c r="BP33" i="4" s="1"/>
  <c r="M33" i="4"/>
  <c r="J33" i="4" s="1"/>
  <c r="C33" i="11"/>
  <c r="E33" i="4"/>
  <c r="B33" i="11" s="1"/>
  <c r="E37" i="4"/>
  <c r="BN37" i="4" s="1"/>
  <c r="E38" i="4"/>
  <c r="BN38" i="4" s="1"/>
  <c r="E39" i="4"/>
  <c r="BN39" i="4" s="1"/>
  <c r="E40" i="4"/>
  <c r="BN40" i="4" s="1"/>
  <c r="E41" i="4"/>
  <c r="BN41" i="4" s="1"/>
  <c r="E42" i="4"/>
  <c r="BN42" i="4" s="1"/>
  <c r="E43" i="4"/>
  <c r="BN43" i="4" s="1"/>
  <c r="O36" i="4"/>
  <c r="CI25" i="4"/>
  <c r="CH25" i="4"/>
  <c r="CG25" i="4"/>
  <c r="CF25" i="4"/>
  <c r="CE25" i="4"/>
  <c r="CD25" i="4"/>
  <c r="CC25" i="4"/>
  <c r="CB25" i="4"/>
  <c r="CA25" i="4"/>
  <c r="BZ25" i="4"/>
  <c r="BY25" i="4"/>
  <c r="BX25" i="4"/>
  <c r="BW25" i="4"/>
  <c r="BV25" i="4"/>
  <c r="BU25" i="4"/>
  <c r="BT25" i="4"/>
  <c r="BS25" i="4"/>
  <c r="BR25" i="4"/>
  <c r="N25" i="4"/>
  <c r="BO25" i="4" s="1"/>
  <c r="M25" i="4"/>
  <c r="C25" i="11"/>
  <c r="E25" i="4"/>
  <c r="B25" i="11" s="1"/>
  <c r="CI24" i="4"/>
  <c r="CH24" i="4"/>
  <c r="CG24" i="4"/>
  <c r="CF24" i="4"/>
  <c r="CE24" i="4"/>
  <c r="CD24" i="4"/>
  <c r="CC24" i="4"/>
  <c r="CB24" i="4"/>
  <c r="CA24" i="4"/>
  <c r="BZ24" i="4"/>
  <c r="BY24" i="4"/>
  <c r="BX24" i="4"/>
  <c r="BW24" i="4"/>
  <c r="BV24" i="4"/>
  <c r="BU24" i="4"/>
  <c r="BT24" i="4"/>
  <c r="BS24" i="4"/>
  <c r="BR24" i="4"/>
  <c r="N24" i="4"/>
  <c r="BP24" i="4" s="1"/>
  <c r="M24" i="4"/>
  <c r="C24" i="11"/>
  <c r="E24" i="4"/>
  <c r="B24" i="11" s="1"/>
  <c r="O37" i="4" l="1"/>
  <c r="H37" i="4" s="1"/>
  <c r="K37" i="4" s="1"/>
  <c r="O40" i="4"/>
  <c r="H40" i="4" s="1"/>
  <c r="K40" i="4" s="1"/>
  <c r="O42" i="4"/>
  <c r="H42" i="4" s="1"/>
  <c r="K42" i="4" s="1"/>
  <c r="O38" i="4"/>
  <c r="H38" i="4" s="1"/>
  <c r="K38" i="4" s="1"/>
  <c r="O41" i="4"/>
  <c r="H41" i="4" s="1"/>
  <c r="K41" i="4" s="1"/>
  <c r="O43" i="4"/>
  <c r="H43" i="4" s="1"/>
  <c r="K43" i="4" s="1"/>
  <c r="O39" i="4"/>
  <c r="H39" i="4" s="1"/>
  <c r="K39" i="4" s="1"/>
  <c r="H36" i="4"/>
  <c r="K36" i="4" s="1"/>
  <c r="B43" i="11"/>
  <c r="B42" i="11"/>
  <c r="B41" i="11"/>
  <c r="B40" i="11"/>
  <c r="B38" i="11"/>
  <c r="B37" i="11"/>
  <c r="B39" i="11"/>
  <c r="B36" i="11"/>
  <c r="C13" i="12"/>
  <c r="C21" i="12"/>
  <c r="C12" i="12"/>
  <c r="C22" i="12"/>
  <c r="C11" i="12"/>
  <c r="C14" i="12"/>
  <c r="I20" i="11"/>
  <c r="I21" i="11"/>
  <c r="I17" i="11"/>
  <c r="I8" i="11"/>
  <c r="I90" i="4"/>
  <c r="I108" i="4"/>
  <c r="I98" i="4"/>
  <c r="I89" i="4"/>
  <c r="I88" i="4"/>
  <c r="I99" i="4"/>
  <c r="I91" i="4"/>
  <c r="I46" i="4"/>
  <c r="I121" i="4"/>
  <c r="I117" i="4"/>
  <c r="I7" i="4"/>
  <c r="I33" i="4"/>
  <c r="G33" i="4" s="1"/>
  <c r="I70" i="4"/>
  <c r="BO88" i="4"/>
  <c r="BQ88" i="4" s="1"/>
  <c r="BO89" i="4"/>
  <c r="BQ89" i="4" s="1"/>
  <c r="BO90" i="4"/>
  <c r="BQ90" i="4" s="1"/>
  <c r="BO91" i="4"/>
  <c r="BQ91" i="4" s="1"/>
  <c r="BO98" i="4"/>
  <c r="BO99" i="4"/>
  <c r="BO46" i="4"/>
  <c r="BO61" i="4"/>
  <c r="BO32" i="4"/>
  <c r="BT32" i="4" s="1"/>
  <c r="BO70" i="4"/>
  <c r="BO7" i="4"/>
  <c r="BO6" i="4"/>
  <c r="BO117" i="4"/>
  <c r="BQ117" i="4" s="1"/>
  <c r="BO121" i="4"/>
  <c r="BO120" i="4"/>
  <c r="BQ120" i="4" s="1"/>
  <c r="BO108" i="4"/>
  <c r="BO33" i="4"/>
  <c r="BP25" i="4"/>
  <c r="BQ25" i="4" s="1"/>
  <c r="BO24" i="4"/>
  <c r="BQ24" i="4" s="1"/>
  <c r="BQ5" i="4"/>
  <c r="BR5" i="4"/>
  <c r="BS5" i="4"/>
  <c r="BT5" i="4"/>
  <c r="BU5" i="4"/>
  <c r="BV5" i="4"/>
  <c r="BW5" i="4"/>
  <c r="BX5" i="4"/>
  <c r="BY5" i="4"/>
  <c r="BZ5" i="4"/>
  <c r="CA5" i="4"/>
  <c r="CB5" i="4"/>
  <c r="CC5" i="4"/>
  <c r="CD5" i="4"/>
  <c r="CE5" i="4"/>
  <c r="CF5" i="4"/>
  <c r="CG5" i="4"/>
  <c r="CH5" i="4"/>
  <c r="CI5" i="4"/>
  <c r="BQ8" i="4"/>
  <c r="BR8" i="4"/>
  <c r="BT8" i="4"/>
  <c r="BU8" i="4"/>
  <c r="BV8" i="4"/>
  <c r="BW8" i="4"/>
  <c r="BX8" i="4"/>
  <c r="BY8" i="4"/>
  <c r="BZ8" i="4"/>
  <c r="CA8" i="4"/>
  <c r="CB8" i="4"/>
  <c r="CC8" i="4"/>
  <c r="CD8" i="4"/>
  <c r="CE8" i="4"/>
  <c r="CF8" i="4"/>
  <c r="CG8" i="4"/>
  <c r="CH8" i="4"/>
  <c r="CI8" i="4"/>
  <c r="BQ9" i="4"/>
  <c r="BR9" i="4"/>
  <c r="BS9" i="4"/>
  <c r="BT9" i="4"/>
  <c r="BU9" i="4"/>
  <c r="BV9" i="4"/>
  <c r="BW9" i="4"/>
  <c r="BX9" i="4"/>
  <c r="BY9" i="4"/>
  <c r="BZ9" i="4"/>
  <c r="CA9" i="4"/>
  <c r="CB9" i="4"/>
  <c r="CC9" i="4"/>
  <c r="CD9" i="4"/>
  <c r="CE9" i="4"/>
  <c r="CF9" i="4"/>
  <c r="CG9" i="4"/>
  <c r="CH9" i="4"/>
  <c r="CI9" i="4"/>
  <c r="BQ10" i="4"/>
  <c r="BR10" i="4"/>
  <c r="BS10" i="4"/>
  <c r="BT10" i="4"/>
  <c r="BU10" i="4"/>
  <c r="BV10" i="4"/>
  <c r="BW10" i="4"/>
  <c r="BX10" i="4"/>
  <c r="BY10" i="4"/>
  <c r="BZ10" i="4"/>
  <c r="CA10" i="4"/>
  <c r="CB10" i="4"/>
  <c r="CC10" i="4"/>
  <c r="CD10" i="4"/>
  <c r="CE10" i="4"/>
  <c r="CF10" i="4"/>
  <c r="CG10" i="4"/>
  <c r="CH10" i="4"/>
  <c r="CI10" i="4"/>
  <c r="BQ13" i="4"/>
  <c r="BR13" i="4"/>
  <c r="BS13" i="4"/>
  <c r="BT13" i="4"/>
  <c r="BU13" i="4"/>
  <c r="BV13" i="4"/>
  <c r="BW13" i="4"/>
  <c r="BX13" i="4"/>
  <c r="BY13" i="4"/>
  <c r="BZ13" i="4"/>
  <c r="CA13" i="4"/>
  <c r="CB13" i="4"/>
  <c r="CC13" i="4"/>
  <c r="CD13" i="4"/>
  <c r="CE13" i="4"/>
  <c r="CF13" i="4"/>
  <c r="CG13" i="4"/>
  <c r="CH13" i="4"/>
  <c r="CI13" i="4"/>
  <c r="BQ14" i="4"/>
  <c r="BR14" i="4"/>
  <c r="BS14" i="4"/>
  <c r="BT14" i="4"/>
  <c r="BU14" i="4"/>
  <c r="BV14" i="4"/>
  <c r="BW14" i="4"/>
  <c r="BX14" i="4"/>
  <c r="BY14" i="4"/>
  <c r="BZ14" i="4"/>
  <c r="CA14" i="4"/>
  <c r="CB14" i="4"/>
  <c r="CC14" i="4"/>
  <c r="CD14" i="4"/>
  <c r="CE14" i="4"/>
  <c r="CF14" i="4"/>
  <c r="CG14" i="4"/>
  <c r="CH14" i="4"/>
  <c r="CI14" i="4"/>
  <c r="BQ16" i="4"/>
  <c r="BR16" i="4"/>
  <c r="BS16" i="4"/>
  <c r="BT16" i="4"/>
  <c r="BU16" i="4"/>
  <c r="BV16" i="4"/>
  <c r="BW16" i="4"/>
  <c r="BX16" i="4"/>
  <c r="BY16" i="4"/>
  <c r="BZ16" i="4"/>
  <c r="CA16" i="4"/>
  <c r="CB16" i="4"/>
  <c r="CC16" i="4"/>
  <c r="CD16" i="4"/>
  <c r="CE16" i="4"/>
  <c r="CF16" i="4"/>
  <c r="CG16" i="4"/>
  <c r="CH16" i="4"/>
  <c r="CI16" i="4"/>
  <c r="BQ17" i="4"/>
  <c r="BR17" i="4"/>
  <c r="BS17" i="4"/>
  <c r="BT17" i="4"/>
  <c r="BU17" i="4"/>
  <c r="BV17" i="4"/>
  <c r="BW17" i="4"/>
  <c r="BX17" i="4"/>
  <c r="BY17" i="4"/>
  <c r="BZ17" i="4"/>
  <c r="CA17" i="4"/>
  <c r="CB17" i="4"/>
  <c r="CC17" i="4"/>
  <c r="CD17" i="4"/>
  <c r="CE17" i="4"/>
  <c r="CF17" i="4"/>
  <c r="CG17" i="4"/>
  <c r="CH17" i="4"/>
  <c r="CI17" i="4"/>
  <c r="BU19" i="4"/>
  <c r="BV19" i="4"/>
  <c r="BW19" i="4"/>
  <c r="BX19" i="4"/>
  <c r="BY19" i="4"/>
  <c r="BZ19" i="4"/>
  <c r="CA19" i="4"/>
  <c r="CB19" i="4"/>
  <c r="CC19" i="4"/>
  <c r="CD19" i="4"/>
  <c r="CE19" i="4"/>
  <c r="CF19" i="4"/>
  <c r="CG19" i="4"/>
  <c r="CH19" i="4"/>
  <c r="CI19" i="4"/>
  <c r="BU20" i="4"/>
  <c r="BV20" i="4"/>
  <c r="BW20" i="4"/>
  <c r="BX20" i="4"/>
  <c r="BY20" i="4"/>
  <c r="BZ20" i="4"/>
  <c r="CA20" i="4"/>
  <c r="CB20" i="4"/>
  <c r="CC20" i="4"/>
  <c r="CD20" i="4"/>
  <c r="CE20" i="4"/>
  <c r="CF20" i="4"/>
  <c r="CG20" i="4"/>
  <c r="CH20" i="4"/>
  <c r="CI20" i="4"/>
  <c r="BR21" i="4"/>
  <c r="BS21" i="4"/>
  <c r="BT21" i="4"/>
  <c r="BU21" i="4"/>
  <c r="BV21" i="4"/>
  <c r="BW21" i="4"/>
  <c r="BX21" i="4"/>
  <c r="BY21" i="4"/>
  <c r="BZ21" i="4"/>
  <c r="CA21" i="4"/>
  <c r="CB21" i="4"/>
  <c r="CC21" i="4"/>
  <c r="CD21" i="4"/>
  <c r="CE21" i="4"/>
  <c r="CF21" i="4"/>
  <c r="CG21" i="4"/>
  <c r="CH21" i="4"/>
  <c r="CI21" i="4"/>
  <c r="BQ23" i="4"/>
  <c r="BR23" i="4"/>
  <c r="BS23" i="4"/>
  <c r="BT23" i="4"/>
  <c r="BU23" i="4"/>
  <c r="BV23" i="4"/>
  <c r="BW23" i="4"/>
  <c r="BX23" i="4"/>
  <c r="BY23" i="4"/>
  <c r="BZ23" i="4"/>
  <c r="CA23" i="4"/>
  <c r="CB23" i="4"/>
  <c r="CC23" i="4"/>
  <c r="CD23" i="4"/>
  <c r="CE23" i="4"/>
  <c r="CF23" i="4"/>
  <c r="CG23" i="4"/>
  <c r="CH23" i="4"/>
  <c r="CI23" i="4"/>
  <c r="BR26" i="4"/>
  <c r="BT26" i="4"/>
  <c r="BU26" i="4"/>
  <c r="BV26" i="4"/>
  <c r="BW26" i="4"/>
  <c r="BX26" i="4"/>
  <c r="BY26" i="4"/>
  <c r="BZ26" i="4"/>
  <c r="CA26" i="4"/>
  <c r="CB26" i="4"/>
  <c r="CC26" i="4"/>
  <c r="CD26" i="4"/>
  <c r="CE26" i="4"/>
  <c r="CF26" i="4"/>
  <c r="CG26" i="4"/>
  <c r="CH26" i="4"/>
  <c r="CI26" i="4"/>
  <c r="BQ27" i="4"/>
  <c r="BR27" i="4"/>
  <c r="BS27" i="4"/>
  <c r="BT27" i="4"/>
  <c r="BU27" i="4"/>
  <c r="BV27" i="4"/>
  <c r="BW27" i="4"/>
  <c r="BX27" i="4"/>
  <c r="BY27" i="4"/>
  <c r="BZ27" i="4"/>
  <c r="CA27" i="4"/>
  <c r="CB27" i="4"/>
  <c r="CC27" i="4"/>
  <c r="CD27" i="4"/>
  <c r="CE27" i="4"/>
  <c r="CF27" i="4"/>
  <c r="CG27" i="4"/>
  <c r="CH27" i="4"/>
  <c r="CI27" i="4"/>
  <c r="BU29" i="4"/>
  <c r="BV29" i="4"/>
  <c r="BW29" i="4"/>
  <c r="BX29" i="4"/>
  <c r="BY29" i="4"/>
  <c r="BZ29" i="4"/>
  <c r="CA29" i="4"/>
  <c r="CB29" i="4"/>
  <c r="CC29" i="4"/>
  <c r="CD29" i="4"/>
  <c r="CE29" i="4"/>
  <c r="CF29" i="4"/>
  <c r="CG29" i="4"/>
  <c r="CH29" i="4"/>
  <c r="CI29" i="4"/>
  <c r="BQ34" i="4"/>
  <c r="BR34" i="4"/>
  <c r="BS34" i="4"/>
  <c r="BT34" i="4"/>
  <c r="BU34" i="4"/>
  <c r="BV34" i="4"/>
  <c r="BW34" i="4"/>
  <c r="BX34" i="4"/>
  <c r="BY34" i="4"/>
  <c r="BZ34" i="4"/>
  <c r="CA34" i="4"/>
  <c r="CB34" i="4"/>
  <c r="CC34" i="4"/>
  <c r="CD34" i="4"/>
  <c r="CE34" i="4"/>
  <c r="CF34" i="4"/>
  <c r="CG34" i="4"/>
  <c r="CH34" i="4"/>
  <c r="CI34" i="4"/>
  <c r="BT35" i="4"/>
  <c r="BU35" i="4"/>
  <c r="BV35" i="4"/>
  <c r="BW35" i="4"/>
  <c r="BX35" i="4"/>
  <c r="BY35" i="4"/>
  <c r="BZ35" i="4"/>
  <c r="CA35" i="4"/>
  <c r="CB35" i="4"/>
  <c r="CC35" i="4"/>
  <c r="CD35" i="4"/>
  <c r="CE35" i="4"/>
  <c r="CF35" i="4"/>
  <c r="CG35" i="4"/>
  <c r="CH35" i="4"/>
  <c r="CI35" i="4"/>
  <c r="BU36" i="4"/>
  <c r="BV36" i="4"/>
  <c r="BW36" i="4"/>
  <c r="BX36" i="4"/>
  <c r="BY36" i="4"/>
  <c r="BZ36" i="4"/>
  <c r="CA36" i="4"/>
  <c r="CB36" i="4"/>
  <c r="CC36" i="4"/>
  <c r="CD36" i="4"/>
  <c r="CE36" i="4"/>
  <c r="CF36" i="4"/>
  <c r="CG36" i="4"/>
  <c r="CH36" i="4"/>
  <c r="CI36" i="4"/>
  <c r="BS37" i="4"/>
  <c r="BU37" i="4"/>
  <c r="BV37" i="4"/>
  <c r="BW37" i="4"/>
  <c r="BX37" i="4"/>
  <c r="BY37" i="4"/>
  <c r="BZ37" i="4"/>
  <c r="CA37" i="4"/>
  <c r="CB37" i="4"/>
  <c r="CC37" i="4"/>
  <c r="CD37" i="4"/>
  <c r="CE37" i="4"/>
  <c r="CF37" i="4"/>
  <c r="CG37" i="4"/>
  <c r="CH37" i="4"/>
  <c r="CI37" i="4"/>
  <c r="BQ38" i="4"/>
  <c r="BR38" i="4"/>
  <c r="BS38" i="4"/>
  <c r="BT38" i="4"/>
  <c r="BU38" i="4"/>
  <c r="BV38" i="4"/>
  <c r="BW38" i="4"/>
  <c r="BX38" i="4"/>
  <c r="BY38" i="4"/>
  <c r="BZ38" i="4"/>
  <c r="CA38" i="4"/>
  <c r="CB38" i="4"/>
  <c r="CC38" i="4"/>
  <c r="CD38" i="4"/>
  <c r="CE38" i="4"/>
  <c r="CF38" i="4"/>
  <c r="CG38" i="4"/>
  <c r="CH38" i="4"/>
  <c r="CI38" i="4"/>
  <c r="BU39" i="4"/>
  <c r="BV39" i="4"/>
  <c r="BW39" i="4"/>
  <c r="BX39" i="4"/>
  <c r="BY39" i="4"/>
  <c r="BZ39" i="4"/>
  <c r="CA39" i="4"/>
  <c r="CB39" i="4"/>
  <c r="CC39" i="4"/>
  <c r="CD39" i="4"/>
  <c r="CE39" i="4"/>
  <c r="CF39" i="4"/>
  <c r="CG39" i="4"/>
  <c r="CH39" i="4"/>
  <c r="CI39" i="4"/>
  <c r="BR40" i="4"/>
  <c r="BS40" i="4"/>
  <c r="BT40" i="4"/>
  <c r="BU40" i="4"/>
  <c r="BV40" i="4"/>
  <c r="BW40" i="4"/>
  <c r="BX40" i="4"/>
  <c r="BY40" i="4"/>
  <c r="BZ40" i="4"/>
  <c r="CA40" i="4"/>
  <c r="CB40" i="4"/>
  <c r="CC40" i="4"/>
  <c r="CD40" i="4"/>
  <c r="CE40" i="4"/>
  <c r="CF40" i="4"/>
  <c r="CG40" i="4"/>
  <c r="CH40" i="4"/>
  <c r="CI40" i="4"/>
  <c r="BT41" i="4"/>
  <c r="BU41" i="4"/>
  <c r="BV41" i="4"/>
  <c r="BW41" i="4"/>
  <c r="BX41" i="4"/>
  <c r="BY41" i="4"/>
  <c r="BZ41" i="4"/>
  <c r="CA41" i="4"/>
  <c r="CB41" i="4"/>
  <c r="CC41" i="4"/>
  <c r="CD41" i="4"/>
  <c r="CE41" i="4"/>
  <c r="CF41" i="4"/>
  <c r="CG41" i="4"/>
  <c r="CH41" i="4"/>
  <c r="CI41" i="4"/>
  <c r="BQ42" i="4"/>
  <c r="BR42" i="4"/>
  <c r="BS42" i="4"/>
  <c r="BT42" i="4"/>
  <c r="BU42" i="4"/>
  <c r="BV42" i="4"/>
  <c r="BW42" i="4"/>
  <c r="BX42" i="4"/>
  <c r="BY42" i="4"/>
  <c r="BZ42" i="4"/>
  <c r="CA42" i="4"/>
  <c r="CB42" i="4"/>
  <c r="CC42" i="4"/>
  <c r="CD42" i="4"/>
  <c r="CE42" i="4"/>
  <c r="CF42" i="4"/>
  <c r="CG42" i="4"/>
  <c r="CH42" i="4"/>
  <c r="CI42" i="4"/>
  <c r="BQ43" i="4"/>
  <c r="BR43" i="4"/>
  <c r="BS43" i="4"/>
  <c r="BT43" i="4"/>
  <c r="BU43" i="4"/>
  <c r="BV43" i="4"/>
  <c r="BW43" i="4"/>
  <c r="BX43" i="4"/>
  <c r="BY43" i="4"/>
  <c r="BZ43" i="4"/>
  <c r="CA43" i="4"/>
  <c r="CB43" i="4"/>
  <c r="CC43" i="4"/>
  <c r="CD43" i="4"/>
  <c r="CE43" i="4"/>
  <c r="CF43" i="4"/>
  <c r="CG43" i="4"/>
  <c r="CH43" i="4"/>
  <c r="CI43" i="4"/>
  <c r="BS45" i="4"/>
  <c r="BU45" i="4"/>
  <c r="BV45" i="4"/>
  <c r="BW45" i="4"/>
  <c r="BX45" i="4"/>
  <c r="BY45" i="4"/>
  <c r="BZ45" i="4"/>
  <c r="CA45" i="4"/>
  <c r="CB45" i="4"/>
  <c r="CC45" i="4"/>
  <c r="CD45" i="4"/>
  <c r="CE45" i="4"/>
  <c r="CF45" i="4"/>
  <c r="CG45" i="4"/>
  <c r="CH45" i="4"/>
  <c r="CI45" i="4"/>
  <c r="BQ47" i="4"/>
  <c r="BR47" i="4"/>
  <c r="BS47" i="4"/>
  <c r="BT47" i="4"/>
  <c r="BU47" i="4"/>
  <c r="BV47" i="4"/>
  <c r="BW47" i="4"/>
  <c r="BX47" i="4"/>
  <c r="BY47" i="4"/>
  <c r="BZ47" i="4"/>
  <c r="CA47" i="4"/>
  <c r="CB47" i="4"/>
  <c r="CC47" i="4"/>
  <c r="CD47" i="4"/>
  <c r="CE47" i="4"/>
  <c r="CF47" i="4"/>
  <c r="CG47" i="4"/>
  <c r="CH47" i="4"/>
  <c r="CI47" i="4"/>
  <c r="BQ49" i="4"/>
  <c r="BS49" i="4"/>
  <c r="BT49" i="4"/>
  <c r="BU49" i="4"/>
  <c r="BV49" i="4"/>
  <c r="BW49" i="4"/>
  <c r="BX49" i="4"/>
  <c r="BY49" i="4"/>
  <c r="BZ49" i="4"/>
  <c r="CA49" i="4"/>
  <c r="CB49" i="4"/>
  <c r="CC49" i="4"/>
  <c r="CD49" i="4"/>
  <c r="CE49" i="4"/>
  <c r="CF49" i="4"/>
  <c r="CG49" i="4"/>
  <c r="CH49" i="4"/>
  <c r="CI49" i="4"/>
  <c r="BQ50" i="4"/>
  <c r="BR50" i="4"/>
  <c r="BS50" i="4"/>
  <c r="BU50" i="4"/>
  <c r="BV50" i="4"/>
  <c r="BW50" i="4"/>
  <c r="BX50" i="4"/>
  <c r="BY50" i="4"/>
  <c r="BZ50" i="4"/>
  <c r="CA50" i="4"/>
  <c r="CB50" i="4"/>
  <c r="CC50" i="4"/>
  <c r="CD50" i="4"/>
  <c r="CE50" i="4"/>
  <c r="CF50" i="4"/>
  <c r="CG50" i="4"/>
  <c r="CH50" i="4"/>
  <c r="CI50" i="4"/>
  <c r="BR51" i="4"/>
  <c r="BS51" i="4"/>
  <c r="BU51" i="4"/>
  <c r="BV51" i="4"/>
  <c r="BW51" i="4"/>
  <c r="BX51" i="4"/>
  <c r="BY51" i="4"/>
  <c r="BZ51" i="4"/>
  <c r="CA51" i="4"/>
  <c r="CB51" i="4"/>
  <c r="CC51" i="4"/>
  <c r="CD51" i="4"/>
  <c r="CE51" i="4"/>
  <c r="CF51" i="4"/>
  <c r="CG51" i="4"/>
  <c r="CH51" i="4"/>
  <c r="CI51" i="4"/>
  <c r="BQ52" i="4"/>
  <c r="BR52" i="4"/>
  <c r="BS52" i="4"/>
  <c r="BT52" i="4"/>
  <c r="BV52" i="4"/>
  <c r="BW52" i="4"/>
  <c r="BX52" i="4"/>
  <c r="BY52" i="4"/>
  <c r="BZ52" i="4"/>
  <c r="CA52" i="4"/>
  <c r="CB52" i="4"/>
  <c r="CC52" i="4"/>
  <c r="CD52" i="4"/>
  <c r="CE52" i="4"/>
  <c r="CF52" i="4"/>
  <c r="CG52" i="4"/>
  <c r="CH52" i="4"/>
  <c r="CI52" i="4"/>
  <c r="BV53" i="4"/>
  <c r="BW53" i="4"/>
  <c r="BX53" i="4"/>
  <c r="BY53" i="4"/>
  <c r="BZ53" i="4"/>
  <c r="CA53" i="4"/>
  <c r="CB53" i="4"/>
  <c r="CC53" i="4"/>
  <c r="CD53" i="4"/>
  <c r="CE53" i="4"/>
  <c r="CF53" i="4"/>
  <c r="CG53" i="4"/>
  <c r="CH53" i="4"/>
  <c r="CI53" i="4"/>
  <c r="BQ54" i="4"/>
  <c r="BR54" i="4"/>
  <c r="BS54" i="4"/>
  <c r="BT54" i="4"/>
  <c r="BU54" i="4"/>
  <c r="BV54" i="4"/>
  <c r="BW54" i="4"/>
  <c r="BX54" i="4"/>
  <c r="BY54" i="4"/>
  <c r="BZ54" i="4"/>
  <c r="CA54" i="4"/>
  <c r="CB54" i="4"/>
  <c r="CC54" i="4"/>
  <c r="CD54" i="4"/>
  <c r="CE54" i="4"/>
  <c r="CF54" i="4"/>
  <c r="CG54" i="4"/>
  <c r="CH54" i="4"/>
  <c r="CI54" i="4"/>
  <c r="BR57" i="4"/>
  <c r="BT57" i="4"/>
  <c r="BU57" i="4"/>
  <c r="BV57" i="4"/>
  <c r="BW57" i="4"/>
  <c r="BX57" i="4"/>
  <c r="BY57" i="4"/>
  <c r="BZ57" i="4"/>
  <c r="CA57" i="4"/>
  <c r="CB57" i="4"/>
  <c r="CC57" i="4"/>
  <c r="CD57" i="4"/>
  <c r="CE57" i="4"/>
  <c r="CF57" i="4"/>
  <c r="CG57" i="4"/>
  <c r="CH57" i="4"/>
  <c r="CI57" i="4"/>
  <c r="BS59" i="4"/>
  <c r="BT59" i="4"/>
  <c r="BU59" i="4"/>
  <c r="BV59" i="4"/>
  <c r="BW59" i="4"/>
  <c r="BX59" i="4"/>
  <c r="BY59" i="4"/>
  <c r="BZ59" i="4"/>
  <c r="CA59" i="4"/>
  <c r="CB59" i="4"/>
  <c r="CC59" i="4"/>
  <c r="CD59" i="4"/>
  <c r="CE59" i="4"/>
  <c r="CF59" i="4"/>
  <c r="CG59" i="4"/>
  <c r="CH59" i="4"/>
  <c r="CI59" i="4"/>
  <c r="BR60" i="4"/>
  <c r="BS60" i="4"/>
  <c r="BT60" i="4"/>
  <c r="BU60" i="4"/>
  <c r="BV60" i="4"/>
  <c r="BW60" i="4"/>
  <c r="BX60" i="4"/>
  <c r="BY60" i="4"/>
  <c r="BZ60" i="4"/>
  <c r="CA60" i="4"/>
  <c r="CB60" i="4"/>
  <c r="CC60" i="4"/>
  <c r="CD60" i="4"/>
  <c r="CE60" i="4"/>
  <c r="CF60" i="4"/>
  <c r="CG60" i="4"/>
  <c r="CH60" i="4"/>
  <c r="CI60" i="4"/>
  <c r="BQ62" i="4"/>
  <c r="BR62" i="4"/>
  <c r="BS62" i="4"/>
  <c r="BT62" i="4"/>
  <c r="BU62" i="4"/>
  <c r="BV62" i="4"/>
  <c r="BW62" i="4"/>
  <c r="BX62" i="4"/>
  <c r="BY62" i="4"/>
  <c r="BZ62" i="4"/>
  <c r="CA62" i="4"/>
  <c r="CB62" i="4"/>
  <c r="CC62" i="4"/>
  <c r="CD62" i="4"/>
  <c r="CE62" i="4"/>
  <c r="CF62" i="4"/>
  <c r="CG62" i="4"/>
  <c r="CH62" i="4"/>
  <c r="CI62" i="4"/>
  <c r="BQ65" i="4"/>
  <c r="BR65" i="4"/>
  <c r="BS65" i="4"/>
  <c r="BT65" i="4"/>
  <c r="BU65" i="4"/>
  <c r="BV65" i="4"/>
  <c r="BW65" i="4"/>
  <c r="BX65" i="4"/>
  <c r="BY65" i="4"/>
  <c r="BZ65" i="4"/>
  <c r="CA65" i="4"/>
  <c r="CB65" i="4"/>
  <c r="CC65" i="4"/>
  <c r="CD65" i="4"/>
  <c r="CE65" i="4"/>
  <c r="CF65" i="4"/>
  <c r="CG65" i="4"/>
  <c r="CH65" i="4"/>
  <c r="CI65" i="4"/>
  <c r="BR66" i="4"/>
  <c r="BU66" i="4"/>
  <c r="BV66" i="4"/>
  <c r="BW66" i="4"/>
  <c r="BX66" i="4"/>
  <c r="BY66" i="4"/>
  <c r="BZ66" i="4"/>
  <c r="CA66" i="4"/>
  <c r="CB66" i="4"/>
  <c r="CC66" i="4"/>
  <c r="CD66" i="4"/>
  <c r="CE66" i="4"/>
  <c r="CF66" i="4"/>
  <c r="CG66" i="4"/>
  <c r="CH66" i="4"/>
  <c r="CI66" i="4"/>
  <c r="BS67" i="4"/>
  <c r="BT67" i="4"/>
  <c r="BU67" i="4"/>
  <c r="BV67" i="4"/>
  <c r="BW67" i="4"/>
  <c r="BX67" i="4"/>
  <c r="BY67" i="4"/>
  <c r="BZ67" i="4"/>
  <c r="CA67" i="4"/>
  <c r="CB67" i="4"/>
  <c r="CC67" i="4"/>
  <c r="CD67" i="4"/>
  <c r="CE67" i="4"/>
  <c r="CF67" i="4"/>
  <c r="CG67" i="4"/>
  <c r="CH67" i="4"/>
  <c r="CI67" i="4"/>
  <c r="BQ69" i="4"/>
  <c r="BR69" i="4"/>
  <c r="BS69" i="4"/>
  <c r="BT69" i="4"/>
  <c r="BU69" i="4"/>
  <c r="BV69" i="4"/>
  <c r="BW69" i="4"/>
  <c r="BX69" i="4"/>
  <c r="BY69" i="4"/>
  <c r="BZ69" i="4"/>
  <c r="CA69" i="4"/>
  <c r="CB69" i="4"/>
  <c r="CC69" i="4"/>
  <c r="CD69" i="4"/>
  <c r="CE69" i="4"/>
  <c r="CF69" i="4"/>
  <c r="CG69" i="4"/>
  <c r="CH69" i="4"/>
  <c r="CI69" i="4"/>
  <c r="BQ72" i="4"/>
  <c r="BR72" i="4"/>
  <c r="BS72" i="4"/>
  <c r="BT72" i="4"/>
  <c r="BU72" i="4"/>
  <c r="BV72" i="4"/>
  <c r="BW72" i="4"/>
  <c r="BX72" i="4"/>
  <c r="BY72" i="4"/>
  <c r="BZ72" i="4"/>
  <c r="CA72" i="4"/>
  <c r="CB72" i="4"/>
  <c r="CC72" i="4"/>
  <c r="CD72" i="4"/>
  <c r="CE72" i="4"/>
  <c r="CF72" i="4"/>
  <c r="CG72" i="4"/>
  <c r="CH72" i="4"/>
  <c r="CI72" i="4"/>
  <c r="BR73" i="4"/>
  <c r="BS73" i="4"/>
  <c r="BT73" i="4"/>
  <c r="BU73" i="4"/>
  <c r="BV73" i="4"/>
  <c r="BW73" i="4"/>
  <c r="BX73" i="4"/>
  <c r="BY73" i="4"/>
  <c r="BZ73" i="4"/>
  <c r="CA73" i="4"/>
  <c r="CB73" i="4"/>
  <c r="CC73" i="4"/>
  <c r="CD73" i="4"/>
  <c r="CE73" i="4"/>
  <c r="CF73" i="4"/>
  <c r="CG73" i="4"/>
  <c r="CH73" i="4"/>
  <c r="CI73" i="4"/>
  <c r="BQ74" i="4"/>
  <c r="BR74" i="4"/>
  <c r="BS74" i="4"/>
  <c r="BT74" i="4"/>
  <c r="BU74" i="4"/>
  <c r="BV74" i="4"/>
  <c r="BW74" i="4"/>
  <c r="BX74" i="4"/>
  <c r="BY74" i="4"/>
  <c r="BZ74" i="4"/>
  <c r="CA74" i="4"/>
  <c r="CB74" i="4"/>
  <c r="CC74" i="4"/>
  <c r="CD74" i="4"/>
  <c r="CE74" i="4"/>
  <c r="CF74" i="4"/>
  <c r="CG74" i="4"/>
  <c r="CH74" i="4"/>
  <c r="CI74" i="4"/>
  <c r="BQ80" i="4"/>
  <c r="BR80" i="4"/>
  <c r="BS80" i="4"/>
  <c r="BT80" i="4"/>
  <c r="BU80" i="4"/>
  <c r="BV80" i="4"/>
  <c r="BW80" i="4"/>
  <c r="BX80" i="4"/>
  <c r="BY80" i="4"/>
  <c r="BZ80" i="4"/>
  <c r="CA80" i="4"/>
  <c r="CB80" i="4"/>
  <c r="CC80" i="4"/>
  <c r="CD80" i="4"/>
  <c r="CE80" i="4"/>
  <c r="CF80" i="4"/>
  <c r="CG80" i="4"/>
  <c r="CH80" i="4"/>
  <c r="CI80" i="4"/>
  <c r="BU81" i="4"/>
  <c r="BV81" i="4"/>
  <c r="BW81" i="4"/>
  <c r="BX81" i="4"/>
  <c r="BY81" i="4"/>
  <c r="BZ81" i="4"/>
  <c r="CA81" i="4"/>
  <c r="CB81" i="4"/>
  <c r="CC81" i="4"/>
  <c r="CD81" i="4"/>
  <c r="CE81" i="4"/>
  <c r="CF81" i="4"/>
  <c r="CG81" i="4"/>
  <c r="CH81" i="4"/>
  <c r="CI81" i="4"/>
  <c r="BR82" i="4"/>
  <c r="BT82" i="4"/>
  <c r="BU82" i="4"/>
  <c r="BV82" i="4"/>
  <c r="BW82" i="4"/>
  <c r="BX82" i="4"/>
  <c r="BY82" i="4"/>
  <c r="BZ82" i="4"/>
  <c r="CA82" i="4"/>
  <c r="CB82" i="4"/>
  <c r="CC82" i="4"/>
  <c r="CD82" i="4"/>
  <c r="CE82" i="4"/>
  <c r="CF82" i="4"/>
  <c r="CG82" i="4"/>
  <c r="CH82" i="4"/>
  <c r="CI82" i="4"/>
  <c r="BT83" i="4"/>
  <c r="BU83" i="4"/>
  <c r="BV83" i="4"/>
  <c r="BW83" i="4"/>
  <c r="BX83" i="4"/>
  <c r="BY83" i="4"/>
  <c r="BZ83" i="4"/>
  <c r="CA83" i="4"/>
  <c r="CB83" i="4"/>
  <c r="CC83" i="4"/>
  <c r="CD83" i="4"/>
  <c r="CE83" i="4"/>
  <c r="CF83" i="4"/>
  <c r="CG83" i="4"/>
  <c r="CH83" i="4"/>
  <c r="CI83" i="4"/>
  <c r="BU84" i="4"/>
  <c r="BV84" i="4"/>
  <c r="BW84" i="4"/>
  <c r="BX84" i="4"/>
  <c r="BY84" i="4"/>
  <c r="BZ84" i="4"/>
  <c r="CA84" i="4"/>
  <c r="CB84" i="4"/>
  <c r="CC84" i="4"/>
  <c r="CD84" i="4"/>
  <c r="CE84" i="4"/>
  <c r="CF84" i="4"/>
  <c r="CG84" i="4"/>
  <c r="CH84" i="4"/>
  <c r="CI84" i="4"/>
  <c r="BU85" i="4"/>
  <c r="BV85" i="4"/>
  <c r="BW85" i="4"/>
  <c r="BX85" i="4"/>
  <c r="BY85" i="4"/>
  <c r="BZ85" i="4"/>
  <c r="CA85" i="4"/>
  <c r="CB85" i="4"/>
  <c r="CC85" i="4"/>
  <c r="CD85" i="4"/>
  <c r="CE85" i="4"/>
  <c r="CF85" i="4"/>
  <c r="CG85" i="4"/>
  <c r="CH85" i="4"/>
  <c r="CI85" i="4"/>
  <c r="BR86" i="4"/>
  <c r="BT86" i="4"/>
  <c r="BU86" i="4"/>
  <c r="BV86" i="4"/>
  <c r="BW86" i="4"/>
  <c r="BX86" i="4"/>
  <c r="BY86" i="4"/>
  <c r="BZ86" i="4"/>
  <c r="CA86" i="4"/>
  <c r="CB86" i="4"/>
  <c r="CC86" i="4"/>
  <c r="CD86" i="4"/>
  <c r="CE86" i="4"/>
  <c r="CF86" i="4"/>
  <c r="CG86" i="4"/>
  <c r="CH86" i="4"/>
  <c r="CI86" i="4"/>
  <c r="BR87" i="4"/>
  <c r="BS87" i="4"/>
  <c r="BT87" i="4"/>
  <c r="BU87" i="4"/>
  <c r="BV87" i="4"/>
  <c r="BW87" i="4"/>
  <c r="BX87" i="4"/>
  <c r="BY87" i="4"/>
  <c r="BZ87" i="4"/>
  <c r="CA87" i="4"/>
  <c r="CB87" i="4"/>
  <c r="CC87" i="4"/>
  <c r="CD87" i="4"/>
  <c r="CE87" i="4"/>
  <c r="CF87" i="4"/>
  <c r="CG87" i="4"/>
  <c r="CH87" i="4"/>
  <c r="CI87" i="4"/>
  <c r="BQ94" i="4"/>
  <c r="BR94" i="4"/>
  <c r="BS94" i="4"/>
  <c r="BT94" i="4"/>
  <c r="BU94" i="4"/>
  <c r="BV94" i="4"/>
  <c r="BW94" i="4"/>
  <c r="BX94" i="4"/>
  <c r="BY94" i="4"/>
  <c r="BZ94" i="4"/>
  <c r="CA94" i="4"/>
  <c r="CB94" i="4"/>
  <c r="CC94" i="4"/>
  <c r="CD94" i="4"/>
  <c r="CE94" i="4"/>
  <c r="CF94" i="4"/>
  <c r="CG94" i="4"/>
  <c r="CH94" i="4"/>
  <c r="CI94" i="4"/>
  <c r="BQ95" i="4"/>
  <c r="BR95" i="4"/>
  <c r="BS95" i="4"/>
  <c r="BT95" i="4"/>
  <c r="BU95" i="4"/>
  <c r="BV95" i="4"/>
  <c r="BW95" i="4"/>
  <c r="BX95" i="4"/>
  <c r="BY95" i="4"/>
  <c r="BZ95" i="4"/>
  <c r="CA95" i="4"/>
  <c r="CB95" i="4"/>
  <c r="CC95" i="4"/>
  <c r="CD95" i="4"/>
  <c r="CE95" i="4"/>
  <c r="CF95" i="4"/>
  <c r="CG95" i="4"/>
  <c r="CH95" i="4"/>
  <c r="CI95" i="4"/>
  <c r="BQ96" i="4"/>
  <c r="BR96" i="4"/>
  <c r="BS96" i="4"/>
  <c r="BT96" i="4"/>
  <c r="BU96" i="4"/>
  <c r="BV96" i="4"/>
  <c r="BW96" i="4"/>
  <c r="BX96" i="4"/>
  <c r="BY96" i="4"/>
  <c r="BZ96" i="4"/>
  <c r="CA96" i="4"/>
  <c r="CB96" i="4"/>
  <c r="CC96" i="4"/>
  <c r="CD96" i="4"/>
  <c r="CE96" i="4"/>
  <c r="CF96" i="4"/>
  <c r="CG96" i="4"/>
  <c r="CH96" i="4"/>
  <c r="CI96" i="4"/>
  <c r="BQ97" i="4"/>
  <c r="BR97" i="4"/>
  <c r="BS97" i="4"/>
  <c r="BT97" i="4"/>
  <c r="BU97" i="4"/>
  <c r="BV97" i="4"/>
  <c r="BW97" i="4"/>
  <c r="BX97" i="4"/>
  <c r="BY97" i="4"/>
  <c r="BZ97" i="4"/>
  <c r="CA97" i="4"/>
  <c r="CB97" i="4"/>
  <c r="CC97" i="4"/>
  <c r="CD97" i="4"/>
  <c r="CE97" i="4"/>
  <c r="CF97" i="4"/>
  <c r="CG97" i="4"/>
  <c r="CH97" i="4"/>
  <c r="CI97" i="4"/>
  <c r="BQ100" i="4"/>
  <c r="BR100" i="4"/>
  <c r="BS100" i="4"/>
  <c r="BT100" i="4"/>
  <c r="BU100" i="4"/>
  <c r="BV100" i="4"/>
  <c r="BW100" i="4"/>
  <c r="BX100" i="4"/>
  <c r="BY100" i="4"/>
  <c r="BZ100" i="4"/>
  <c r="CA100" i="4"/>
  <c r="CB100" i="4"/>
  <c r="CC100" i="4"/>
  <c r="CD100" i="4"/>
  <c r="CE100" i="4"/>
  <c r="CF100" i="4"/>
  <c r="CG100" i="4"/>
  <c r="CH100" i="4"/>
  <c r="CI100" i="4"/>
  <c r="BQ102" i="4"/>
  <c r="BR102" i="4"/>
  <c r="BS102" i="4"/>
  <c r="BT102" i="4"/>
  <c r="BU102" i="4"/>
  <c r="BV102" i="4"/>
  <c r="BW102" i="4"/>
  <c r="BX102" i="4"/>
  <c r="BY102" i="4"/>
  <c r="BZ102" i="4"/>
  <c r="CA102" i="4"/>
  <c r="CB102" i="4"/>
  <c r="CC102" i="4"/>
  <c r="CD102" i="4"/>
  <c r="CE102" i="4"/>
  <c r="CF102" i="4"/>
  <c r="CG102" i="4"/>
  <c r="CH102" i="4"/>
  <c r="CI102" i="4"/>
  <c r="BQ103" i="4"/>
  <c r="BR103" i="4"/>
  <c r="BS103" i="4"/>
  <c r="BT103" i="4"/>
  <c r="BU103" i="4"/>
  <c r="BV103" i="4"/>
  <c r="BW103" i="4"/>
  <c r="BX103" i="4"/>
  <c r="BY103" i="4"/>
  <c r="BZ103" i="4"/>
  <c r="CA103" i="4"/>
  <c r="CB103" i="4"/>
  <c r="CC103" i="4"/>
  <c r="CD103" i="4"/>
  <c r="CE103" i="4"/>
  <c r="CF103" i="4"/>
  <c r="CG103" i="4"/>
  <c r="CH103" i="4"/>
  <c r="CI103" i="4"/>
  <c r="BQ106" i="4"/>
  <c r="BR106" i="4"/>
  <c r="BS106" i="4"/>
  <c r="BT106" i="4"/>
  <c r="BU106" i="4"/>
  <c r="BV106" i="4"/>
  <c r="BW106" i="4"/>
  <c r="BX106" i="4"/>
  <c r="BY106" i="4"/>
  <c r="BZ106" i="4"/>
  <c r="CA106" i="4"/>
  <c r="CB106" i="4"/>
  <c r="CC106" i="4"/>
  <c r="CD106" i="4"/>
  <c r="CE106" i="4"/>
  <c r="CF106" i="4"/>
  <c r="CG106" i="4"/>
  <c r="CH106" i="4"/>
  <c r="CI106" i="4"/>
  <c r="BR107" i="4"/>
  <c r="BS107" i="4"/>
  <c r="BT107" i="4"/>
  <c r="BU107" i="4"/>
  <c r="BV107" i="4"/>
  <c r="BW107" i="4"/>
  <c r="BX107" i="4"/>
  <c r="BY107" i="4"/>
  <c r="BZ107" i="4"/>
  <c r="CA107" i="4"/>
  <c r="CB107" i="4"/>
  <c r="CC107" i="4"/>
  <c r="CD107" i="4"/>
  <c r="CE107" i="4"/>
  <c r="CF107" i="4"/>
  <c r="CG107" i="4"/>
  <c r="CH107" i="4"/>
  <c r="CI107" i="4"/>
  <c r="BQ109" i="4"/>
  <c r="BR109" i="4"/>
  <c r="BS109" i="4"/>
  <c r="BT109" i="4"/>
  <c r="BU109" i="4"/>
  <c r="BV109" i="4"/>
  <c r="BW109" i="4"/>
  <c r="BX109" i="4"/>
  <c r="BY109" i="4"/>
  <c r="BZ109" i="4"/>
  <c r="CA109" i="4"/>
  <c r="CB109" i="4"/>
  <c r="CC109" i="4"/>
  <c r="CD109" i="4"/>
  <c r="CE109" i="4"/>
  <c r="CF109" i="4"/>
  <c r="CG109" i="4"/>
  <c r="CH109" i="4"/>
  <c r="CI109" i="4"/>
  <c r="BQ111" i="4"/>
  <c r="BR111" i="4"/>
  <c r="BS111" i="4"/>
  <c r="BT111" i="4"/>
  <c r="BU111" i="4"/>
  <c r="BV111" i="4"/>
  <c r="BW111" i="4"/>
  <c r="BX111" i="4"/>
  <c r="BY111" i="4"/>
  <c r="BZ111" i="4"/>
  <c r="CA111" i="4"/>
  <c r="CB111" i="4"/>
  <c r="CC111" i="4"/>
  <c r="CD111" i="4"/>
  <c r="CE111" i="4"/>
  <c r="CF111" i="4"/>
  <c r="CG111" i="4"/>
  <c r="CH111" i="4"/>
  <c r="CI111" i="4"/>
  <c r="BQ112" i="4"/>
  <c r="BR112" i="4"/>
  <c r="BS112" i="4"/>
  <c r="BT112" i="4"/>
  <c r="BU112" i="4"/>
  <c r="BV112" i="4"/>
  <c r="BW112" i="4"/>
  <c r="BX112" i="4"/>
  <c r="BY112" i="4"/>
  <c r="BZ112" i="4"/>
  <c r="CA112" i="4"/>
  <c r="CB112" i="4"/>
  <c r="CC112" i="4"/>
  <c r="CD112" i="4"/>
  <c r="CE112" i="4"/>
  <c r="CF112" i="4"/>
  <c r="CG112" i="4"/>
  <c r="CH112" i="4"/>
  <c r="CI112" i="4"/>
  <c r="BQ114" i="4"/>
  <c r="BR114" i="4"/>
  <c r="BS114" i="4"/>
  <c r="BT114" i="4"/>
  <c r="BU114" i="4"/>
  <c r="BV114" i="4"/>
  <c r="BW114" i="4"/>
  <c r="BX114" i="4"/>
  <c r="BY114" i="4"/>
  <c r="BZ114" i="4"/>
  <c r="CA114" i="4"/>
  <c r="CB114" i="4"/>
  <c r="CC114" i="4"/>
  <c r="CD114" i="4"/>
  <c r="CE114" i="4"/>
  <c r="CF114" i="4"/>
  <c r="CG114" i="4"/>
  <c r="CH114" i="4"/>
  <c r="CI114" i="4"/>
  <c r="BQ115" i="4"/>
  <c r="BR115" i="4"/>
  <c r="BS115" i="4"/>
  <c r="BT115" i="4"/>
  <c r="BU115" i="4"/>
  <c r="BV115" i="4"/>
  <c r="BW115" i="4"/>
  <c r="BX115" i="4"/>
  <c r="BY115" i="4"/>
  <c r="BZ115" i="4"/>
  <c r="CA115" i="4"/>
  <c r="CB115" i="4"/>
  <c r="CC115" i="4"/>
  <c r="CD115" i="4"/>
  <c r="CE115" i="4"/>
  <c r="CF115" i="4"/>
  <c r="CG115" i="4"/>
  <c r="CH115" i="4"/>
  <c r="CI115" i="4"/>
  <c r="BR116" i="4"/>
  <c r="BS116" i="4"/>
  <c r="BT116" i="4"/>
  <c r="BU116" i="4"/>
  <c r="BV116" i="4"/>
  <c r="BW116" i="4"/>
  <c r="BX116" i="4"/>
  <c r="BY116" i="4"/>
  <c r="BZ116" i="4"/>
  <c r="CA116" i="4"/>
  <c r="CB116" i="4"/>
  <c r="CC116" i="4"/>
  <c r="CD116" i="4"/>
  <c r="CE116" i="4"/>
  <c r="CF116" i="4"/>
  <c r="CG116" i="4"/>
  <c r="CH116" i="4"/>
  <c r="CI116" i="4"/>
  <c r="BQ118" i="4"/>
  <c r="BR118" i="4"/>
  <c r="BS118" i="4"/>
  <c r="BT118" i="4"/>
  <c r="BU118" i="4"/>
  <c r="BV118" i="4"/>
  <c r="BW118" i="4"/>
  <c r="BX118" i="4"/>
  <c r="BY118" i="4"/>
  <c r="BZ118" i="4"/>
  <c r="CA118" i="4"/>
  <c r="CB118" i="4"/>
  <c r="CC118" i="4"/>
  <c r="CD118" i="4"/>
  <c r="CE118" i="4"/>
  <c r="CF118" i="4"/>
  <c r="CG118" i="4"/>
  <c r="CH118" i="4"/>
  <c r="CI118" i="4"/>
  <c r="BQ119" i="4"/>
  <c r="BR119" i="4"/>
  <c r="BS119" i="4"/>
  <c r="BT119" i="4"/>
  <c r="BU119" i="4"/>
  <c r="BV119" i="4"/>
  <c r="BW119" i="4"/>
  <c r="BX119" i="4"/>
  <c r="BY119" i="4"/>
  <c r="BZ119" i="4"/>
  <c r="CA119" i="4"/>
  <c r="CB119" i="4"/>
  <c r="CC119" i="4"/>
  <c r="CD119" i="4"/>
  <c r="CE119" i="4"/>
  <c r="CF119" i="4"/>
  <c r="CG119" i="4"/>
  <c r="CH119" i="4"/>
  <c r="CI119" i="4"/>
  <c r="BQ122" i="4"/>
  <c r="BR122" i="4"/>
  <c r="BS122" i="4"/>
  <c r="BT122" i="4"/>
  <c r="BU122" i="4"/>
  <c r="BV122" i="4"/>
  <c r="BW122" i="4"/>
  <c r="BX122" i="4"/>
  <c r="BY122" i="4"/>
  <c r="BZ122" i="4"/>
  <c r="CA122" i="4"/>
  <c r="CB122" i="4"/>
  <c r="CC122" i="4"/>
  <c r="CD122" i="4"/>
  <c r="CE122" i="4"/>
  <c r="CF122" i="4"/>
  <c r="CG122" i="4"/>
  <c r="CH122" i="4"/>
  <c r="CI122" i="4"/>
  <c r="BQ123" i="4"/>
  <c r="BR123" i="4"/>
  <c r="BS123" i="4"/>
  <c r="BT123" i="4"/>
  <c r="BU123" i="4"/>
  <c r="BV123" i="4"/>
  <c r="BW123" i="4"/>
  <c r="BX123" i="4"/>
  <c r="BY123" i="4"/>
  <c r="BZ123" i="4"/>
  <c r="CA123" i="4"/>
  <c r="CB123" i="4"/>
  <c r="CC123" i="4"/>
  <c r="CD123" i="4"/>
  <c r="CE123" i="4"/>
  <c r="CF123" i="4"/>
  <c r="CG123" i="4"/>
  <c r="CH123" i="4"/>
  <c r="CI123" i="4"/>
  <c r="BQ124" i="4"/>
  <c r="BR124" i="4"/>
  <c r="BS124" i="4"/>
  <c r="BT124" i="4"/>
  <c r="BU124" i="4"/>
  <c r="BV124" i="4"/>
  <c r="BW124" i="4"/>
  <c r="BX124" i="4"/>
  <c r="BY124" i="4"/>
  <c r="BZ124" i="4"/>
  <c r="CA124" i="4"/>
  <c r="CB124" i="4"/>
  <c r="CC124" i="4"/>
  <c r="CD124" i="4"/>
  <c r="CE124" i="4"/>
  <c r="CF124" i="4"/>
  <c r="CG124" i="4"/>
  <c r="CH124" i="4"/>
  <c r="CI124" i="4"/>
  <c r="BQ125" i="4"/>
  <c r="BR125" i="4"/>
  <c r="BS125" i="4"/>
  <c r="BT125" i="4"/>
  <c r="BU125" i="4"/>
  <c r="BV125" i="4"/>
  <c r="BW125" i="4"/>
  <c r="BX125" i="4"/>
  <c r="BY125" i="4"/>
  <c r="BZ125" i="4"/>
  <c r="CA125" i="4"/>
  <c r="CB125" i="4"/>
  <c r="CC125" i="4"/>
  <c r="CD125" i="4"/>
  <c r="CE125" i="4"/>
  <c r="CF125" i="4"/>
  <c r="CG125" i="4"/>
  <c r="CH125" i="4"/>
  <c r="CI125" i="4"/>
  <c r="BQ126" i="4"/>
  <c r="BR126" i="4"/>
  <c r="BS126" i="4"/>
  <c r="BT126" i="4"/>
  <c r="BU126" i="4"/>
  <c r="BV126" i="4"/>
  <c r="BW126" i="4"/>
  <c r="BX126" i="4"/>
  <c r="BY126" i="4"/>
  <c r="BZ126" i="4"/>
  <c r="CA126" i="4"/>
  <c r="CB126" i="4"/>
  <c r="CC126" i="4"/>
  <c r="CD126" i="4"/>
  <c r="CE126" i="4"/>
  <c r="CF126" i="4"/>
  <c r="CG126" i="4"/>
  <c r="CH126" i="4"/>
  <c r="CI126" i="4"/>
  <c r="CI2" i="4" l="1"/>
  <c r="CA2" i="4"/>
  <c r="BX2" i="4"/>
  <c r="CG2" i="4"/>
  <c r="CC2" i="4"/>
  <c r="BY2" i="4"/>
  <c r="CE2" i="4"/>
  <c r="BW2" i="4"/>
  <c r="CF2" i="4"/>
  <c r="CB2" i="4"/>
  <c r="CH2" i="4"/>
  <c r="CD2" i="4"/>
  <c r="BZ2" i="4"/>
  <c r="BV2" i="4"/>
  <c r="AG2" i="4"/>
  <c r="Y2" i="4"/>
  <c r="AF2" i="4"/>
  <c r="AB2" i="4"/>
  <c r="X2" i="4"/>
  <c r="AE2" i="4"/>
  <c r="AA2" i="4"/>
  <c r="W2" i="4"/>
  <c r="AC2" i="4"/>
  <c r="U2" i="4"/>
  <c r="AH2" i="4"/>
  <c r="AD2" i="4"/>
  <c r="Z2" i="4"/>
  <c r="V2" i="4"/>
  <c r="BR32" i="4"/>
  <c r="BQ32" i="4"/>
  <c r="BS32" i="4"/>
  <c r="BQ46" i="4"/>
  <c r="BR46" i="4"/>
  <c r="BQ61" i="4"/>
  <c r="BR61" i="4"/>
  <c r="D33" i="11"/>
  <c r="CK7" i="4"/>
  <c r="DN7" i="4"/>
  <c r="AJ2" i="4" l="1"/>
  <c r="CK2" i="4"/>
  <c r="BM2" i="4"/>
  <c r="DN2" i="4"/>
  <c r="H4" i="1"/>
  <c r="H5" i="1"/>
  <c r="H6" i="1"/>
  <c r="H7" i="1"/>
  <c r="H8" i="1"/>
  <c r="H9" i="1"/>
  <c r="H10" i="1"/>
  <c r="H11" i="1"/>
  <c r="H3" i="1"/>
  <c r="X14" i="1"/>
  <c r="Y14" i="1"/>
  <c r="Z14" i="1"/>
  <c r="AA14" i="1"/>
  <c r="AB14" i="1"/>
  <c r="AC14" i="1"/>
  <c r="AD14" i="1"/>
  <c r="AE14" i="1"/>
  <c r="AF14" i="1"/>
  <c r="AG14" i="1"/>
  <c r="AH14" i="1"/>
  <c r="AI14" i="1"/>
  <c r="AJ14" i="1"/>
  <c r="AK14" i="1"/>
  <c r="AL14" i="1"/>
  <c r="AM14" i="1"/>
  <c r="C20" i="11" l="1"/>
  <c r="C21" i="11"/>
  <c r="C23" i="11"/>
  <c r="C26" i="11"/>
  <c r="C27" i="11"/>
  <c r="C29" i="11"/>
  <c r="C34" i="11"/>
  <c r="C35" i="11"/>
  <c r="C36" i="11"/>
  <c r="C37" i="11"/>
  <c r="C38" i="11"/>
  <c r="C39" i="11"/>
  <c r="C40" i="11"/>
  <c r="C41" i="11"/>
  <c r="C42" i="11"/>
  <c r="C43" i="11"/>
  <c r="C45" i="11"/>
  <c r="C47" i="11"/>
  <c r="C49" i="11"/>
  <c r="C50" i="11"/>
  <c r="C51" i="11"/>
  <c r="C52" i="11"/>
  <c r="F6" i="11"/>
  <c r="F8" i="11"/>
  <c r="F9" i="11"/>
  <c r="F11" i="11"/>
  <c r="F14" i="11"/>
  <c r="F15" i="11"/>
  <c r="F16" i="11"/>
  <c r="F18" i="11"/>
  <c r="F21" i="11"/>
  <c r="F22" i="11"/>
  <c r="F23" i="11"/>
  <c r="F30" i="11"/>
  <c r="F31" i="11"/>
  <c r="F32" i="11"/>
  <c r="F33" i="11"/>
  <c r="F34" i="11"/>
  <c r="F35" i="11"/>
  <c r="F36" i="11"/>
  <c r="F43" i="11"/>
  <c r="F44" i="11"/>
  <c r="F45" i="11"/>
  <c r="F46" i="11"/>
  <c r="F49" i="11"/>
  <c r="F51" i="11"/>
  <c r="F52" i="11"/>
  <c r="I23" i="11"/>
  <c r="I24" i="11"/>
  <c r="I25" i="11"/>
  <c r="I26" i="11"/>
  <c r="V2" i="1"/>
  <c r="W2" i="1" s="1"/>
  <c r="X2" i="1" s="1"/>
  <c r="Y2" i="1" s="1"/>
  <c r="Z2" i="1" s="1"/>
  <c r="AA2" i="1" s="1"/>
  <c r="AB2" i="1" s="1"/>
  <c r="AC2" i="1" s="1"/>
  <c r="AD2" i="1" s="1"/>
  <c r="AE2" i="1" s="1"/>
  <c r="AF2" i="1" s="1"/>
  <c r="AG2" i="1" s="1"/>
  <c r="AH2" i="1" s="1"/>
  <c r="AI2" i="1" s="1"/>
  <c r="AJ2" i="1" s="1"/>
  <c r="AK2" i="1" s="1"/>
  <c r="AL2" i="1" s="1"/>
  <c r="AM2" i="1" s="1"/>
  <c r="AN2" i="1" s="1"/>
  <c r="AO2" i="1" s="1"/>
  <c r="AP2" i="1" s="1"/>
  <c r="AQ2" i="1" s="1"/>
  <c r="AR2" i="1" s="1"/>
  <c r="AS2" i="1" s="1"/>
  <c r="AT2" i="1" s="1"/>
  <c r="AU2" i="1" s="1"/>
  <c r="AV2" i="1" s="1"/>
  <c r="AW2" i="1" s="1"/>
  <c r="AX2" i="1" s="1"/>
  <c r="AY2" i="1" s="1"/>
  <c r="AZ2" i="1" s="1"/>
  <c r="BA2" i="1" s="1"/>
  <c r="BB2" i="1" s="1"/>
  <c r="BC2" i="1" s="1"/>
  <c r="BD2" i="1" s="1"/>
  <c r="BE2" i="1" s="1"/>
  <c r="BF2" i="1" s="1"/>
  <c r="BG2" i="1" s="1"/>
  <c r="BH2" i="1" s="1"/>
  <c r="BI2" i="1" s="1"/>
  <c r="BJ2" i="1" s="1"/>
  <c r="BK2" i="1" s="1"/>
  <c r="BL2" i="1" s="1"/>
  <c r="BM2" i="1" s="1"/>
  <c r="BN2" i="1" s="1"/>
  <c r="BO2" i="1" s="1"/>
  <c r="BP2" i="1" s="1"/>
  <c r="BQ2" i="1" s="1"/>
  <c r="BR2" i="1" s="1"/>
  <c r="F29" i="11" l="1"/>
  <c r="D57" i="12"/>
  <c r="C25" i="12"/>
  <c r="C18" i="12"/>
  <c r="C8" i="12"/>
  <c r="C23" i="12"/>
  <c r="C17" i="12"/>
  <c r="C7" i="12"/>
  <c r="C20" i="12"/>
  <c r="C10" i="12"/>
  <c r="C6" i="12"/>
  <c r="C26" i="12"/>
  <c r="C19" i="12"/>
  <c r="C9" i="12"/>
  <c r="C5" i="12"/>
  <c r="I22" i="11"/>
  <c r="I15" i="11"/>
  <c r="I19" i="11"/>
  <c r="I14" i="11"/>
  <c r="I18" i="11"/>
  <c r="I16" i="11"/>
  <c r="I9" i="11"/>
  <c r="I7" i="11"/>
  <c r="I12" i="11"/>
  <c r="I6" i="11"/>
  <c r="I11" i="11"/>
  <c r="I112" i="4"/>
  <c r="I109" i="4"/>
  <c r="I94" i="4"/>
  <c r="I95" i="4"/>
  <c r="I100" i="4"/>
  <c r="I106" i="4"/>
  <c r="I97" i="4"/>
  <c r="I102" i="4"/>
  <c r="I111" i="4"/>
  <c r="I103" i="4"/>
  <c r="I96" i="4"/>
  <c r="I82" i="4"/>
  <c r="I54" i="4"/>
  <c r="C54" i="11"/>
  <c r="C19" i="11"/>
  <c r="C53" i="11"/>
  <c r="I122" i="4"/>
  <c r="I115" i="4"/>
  <c r="I65" i="4"/>
  <c r="I45" i="4"/>
  <c r="I27" i="4"/>
  <c r="I119" i="4"/>
  <c r="I80" i="4"/>
  <c r="I69" i="4"/>
  <c r="I62" i="4"/>
  <c r="I50" i="4"/>
  <c r="I43" i="4"/>
  <c r="I13" i="4"/>
  <c r="I126" i="4"/>
  <c r="I57" i="4"/>
  <c r="I8" i="4"/>
  <c r="I114" i="4"/>
  <c r="I118" i="4"/>
  <c r="I74" i="4"/>
  <c r="I38" i="4"/>
  <c r="I34" i="4"/>
  <c r="I23" i="4"/>
  <c r="I17" i="4"/>
  <c r="I72" i="4"/>
  <c r="I40" i="4"/>
  <c r="I14" i="4"/>
  <c r="I124" i="4"/>
  <c r="I116" i="4"/>
  <c r="I73" i="4"/>
  <c r="I59" i="4"/>
  <c r="I52" i="4"/>
  <c r="I47" i="4"/>
  <c r="I41" i="4"/>
  <c r="I16" i="4"/>
  <c r="I9" i="4"/>
  <c r="K18" i="1"/>
  <c r="K16" i="1"/>
  <c r="K15" i="1"/>
  <c r="K14" i="1"/>
  <c r="K12" i="1"/>
  <c r="K11" i="1"/>
  <c r="K10" i="1"/>
  <c r="K9" i="1"/>
  <c r="K8" i="1"/>
  <c r="K7" i="1"/>
  <c r="K6" i="1"/>
  <c r="K5" i="1"/>
  <c r="K4" i="1"/>
  <c r="K3" i="1"/>
  <c r="P5" i="6" l="1"/>
  <c r="O6" i="6"/>
  <c r="P6" i="6" l="1"/>
  <c r="I86" i="4" s="1"/>
  <c r="I125" i="4"/>
  <c r="I11" i="4"/>
  <c r="I15" i="4"/>
  <c r="I24" i="4"/>
  <c r="I25" i="4"/>
  <c r="I120" i="4"/>
  <c r="I61" i="4"/>
  <c r="I87" i="4"/>
  <c r="I107" i="4"/>
  <c r="I67" i="4"/>
  <c r="I51" i="4"/>
  <c r="I60" i="4"/>
  <c r="I42" i="4"/>
  <c r="I123" i="4"/>
  <c r="I49" i="4"/>
  <c r="I21" i="4"/>
  <c r="M36" i="4"/>
  <c r="O7" i="6"/>
  <c r="B6" i="6"/>
  <c r="B7" i="6" s="1"/>
  <c r="B8" i="6" s="1"/>
  <c r="B9" i="6" s="1"/>
  <c r="B10" i="6" s="1"/>
  <c r="B11" i="6" s="1"/>
  <c r="B12" i="6" s="1"/>
  <c r="B13" i="6" s="1"/>
  <c r="B14" i="6" s="1"/>
  <c r="B15" i="6" s="1"/>
  <c r="B16" i="6" s="1"/>
  <c r="B17" i="6" s="1"/>
  <c r="B18" i="6" s="1"/>
  <c r="B19" i="6" s="1"/>
  <c r="B20" i="6" s="1"/>
  <c r="B21" i="6" s="1"/>
  <c r="B22" i="6" s="1"/>
  <c r="B23" i="6" l="1"/>
  <c r="D22" i="6"/>
  <c r="I58" i="4"/>
  <c r="I30" i="4"/>
  <c r="I37" i="4"/>
  <c r="P7" i="6"/>
  <c r="I84" i="4" s="1"/>
  <c r="O8" i="6"/>
  <c r="N8" i="4"/>
  <c r="BP8" i="4" s="1"/>
  <c r="M8" i="4"/>
  <c r="E8" i="4"/>
  <c r="B8" i="11" s="1"/>
  <c r="N51" i="4"/>
  <c r="BP51" i="4" s="1"/>
  <c r="M51" i="4"/>
  <c r="J51" i="4" s="1"/>
  <c r="G51" i="4" s="1"/>
  <c r="E51" i="4"/>
  <c r="B51" i="11" s="1"/>
  <c r="BP125" i="4"/>
  <c r="E125" i="4"/>
  <c r="H25" i="11" s="1"/>
  <c r="N111" i="4"/>
  <c r="BP111" i="4" s="1"/>
  <c r="M111" i="4"/>
  <c r="E111" i="4"/>
  <c r="H11" i="11" s="1"/>
  <c r="N37" i="4"/>
  <c r="BO37" i="4" s="1"/>
  <c r="BT37" i="4" s="1"/>
  <c r="N21" i="4"/>
  <c r="BP21" i="4" s="1"/>
  <c r="M21" i="4"/>
  <c r="E21" i="4"/>
  <c r="B21" i="11" s="1"/>
  <c r="N16" i="4"/>
  <c r="BP16" i="4" s="1"/>
  <c r="M16" i="4"/>
  <c r="E16" i="4"/>
  <c r="B16" i="11" s="1"/>
  <c r="M5" i="4"/>
  <c r="M9" i="4"/>
  <c r="M10" i="4"/>
  <c r="M13" i="4"/>
  <c r="M14" i="4"/>
  <c r="M17" i="4"/>
  <c r="M19" i="4"/>
  <c r="M20" i="4"/>
  <c r="M23" i="4"/>
  <c r="M26" i="4"/>
  <c r="M27" i="4"/>
  <c r="M29" i="4"/>
  <c r="J29" i="4" s="1"/>
  <c r="M34" i="4"/>
  <c r="J34" i="4" s="1"/>
  <c r="G34" i="4" s="1"/>
  <c r="M35" i="4"/>
  <c r="M45" i="4"/>
  <c r="M47" i="4"/>
  <c r="M49" i="4"/>
  <c r="M50" i="4"/>
  <c r="M52" i="4"/>
  <c r="J52" i="4" s="1"/>
  <c r="G52" i="4" s="1"/>
  <c r="M53" i="4"/>
  <c r="J53" i="4" s="1"/>
  <c r="M54" i="4"/>
  <c r="M57" i="4"/>
  <c r="M59" i="4"/>
  <c r="M60" i="4"/>
  <c r="M62" i="4"/>
  <c r="M65" i="4"/>
  <c r="M66" i="4"/>
  <c r="M67" i="4"/>
  <c r="M69" i="4"/>
  <c r="M72" i="4"/>
  <c r="M73" i="4"/>
  <c r="M74" i="4"/>
  <c r="M80" i="4"/>
  <c r="M81" i="4"/>
  <c r="M82" i="4"/>
  <c r="M83" i="4"/>
  <c r="M84" i="4"/>
  <c r="M85" i="4"/>
  <c r="M86" i="4"/>
  <c r="M87" i="4"/>
  <c r="M94" i="4"/>
  <c r="M95" i="4"/>
  <c r="M96" i="4"/>
  <c r="M97" i="4"/>
  <c r="M100" i="4"/>
  <c r="M102" i="4"/>
  <c r="M103" i="4"/>
  <c r="M106" i="4"/>
  <c r="M107" i="4"/>
  <c r="M109" i="4"/>
  <c r="M112" i="4"/>
  <c r="M114" i="4"/>
  <c r="M115" i="4"/>
  <c r="M116" i="4"/>
  <c r="M118" i="4"/>
  <c r="M119" i="4"/>
  <c r="M122" i="4"/>
  <c r="BO5" i="4"/>
  <c r="N9" i="4"/>
  <c r="BP9" i="4" s="1"/>
  <c r="N10" i="4"/>
  <c r="BO10" i="4" s="1"/>
  <c r="N13" i="4"/>
  <c r="BO13" i="4" s="1"/>
  <c r="N14" i="4"/>
  <c r="BO14" i="4" s="1"/>
  <c r="N17" i="4"/>
  <c r="BP17" i="4" s="1"/>
  <c r="BO18" i="4"/>
  <c r="BO19" i="4"/>
  <c r="BO20" i="4"/>
  <c r="N23" i="4"/>
  <c r="BP23" i="4" s="1"/>
  <c r="N26" i="4"/>
  <c r="BO26" i="4" s="1"/>
  <c r="N27" i="4"/>
  <c r="BO27" i="4" s="1"/>
  <c r="BO28" i="4"/>
  <c r="N29" i="4"/>
  <c r="BP29" i="4" s="1"/>
  <c r="N34" i="4"/>
  <c r="BO34" i="4" s="1"/>
  <c r="N35" i="4"/>
  <c r="BO35" i="4" s="1"/>
  <c r="BS35" i="4" s="1"/>
  <c r="N36" i="4"/>
  <c r="BO36" i="4" s="1"/>
  <c r="N38" i="4"/>
  <c r="BP38" i="4" s="1"/>
  <c r="N39" i="4"/>
  <c r="BO39" i="4" s="1"/>
  <c r="N40" i="4"/>
  <c r="BO40" i="4" s="1"/>
  <c r="N41" i="4"/>
  <c r="BO41" i="4" s="1"/>
  <c r="BS41" i="4" s="1"/>
  <c r="N42" i="4"/>
  <c r="BP42" i="4" s="1"/>
  <c r="N43" i="4"/>
  <c r="BO43" i="4" s="1"/>
  <c r="BO44" i="4"/>
  <c r="N45" i="4"/>
  <c r="BO45" i="4" s="1"/>
  <c r="BT45" i="4" s="1"/>
  <c r="N47" i="4"/>
  <c r="BP47" i="4" s="1"/>
  <c r="BO48" i="4"/>
  <c r="N49" i="4"/>
  <c r="BO49" i="4" s="1"/>
  <c r="BR49" i="4" s="1"/>
  <c r="N50" i="4"/>
  <c r="BO50" i="4" s="1"/>
  <c r="BT50" i="4" s="1"/>
  <c r="N52" i="4"/>
  <c r="BP52" i="4" s="1"/>
  <c r="N53" i="4"/>
  <c r="BO53" i="4" s="1"/>
  <c r="BT53" i="4" s="1"/>
  <c r="N54" i="4"/>
  <c r="BO54" i="4" s="1"/>
  <c r="BO55" i="4"/>
  <c r="N57" i="4"/>
  <c r="BP57" i="4" s="1"/>
  <c r="N59" i="4"/>
  <c r="BO59" i="4" s="1"/>
  <c r="N60" i="4"/>
  <c r="BO60" i="4" s="1"/>
  <c r="BQ60" i="4" s="1"/>
  <c r="N62" i="4"/>
  <c r="BO62" i="4" s="1"/>
  <c r="BP63" i="4"/>
  <c r="N65" i="4"/>
  <c r="BO65" i="4" s="1"/>
  <c r="N66" i="4"/>
  <c r="BO66" i="4" s="1"/>
  <c r="BT66" i="4" s="1"/>
  <c r="N67" i="4"/>
  <c r="BO67" i="4" s="1"/>
  <c r="BP68" i="4"/>
  <c r="N69" i="4"/>
  <c r="BO69" i="4" s="1"/>
  <c r="N72" i="4"/>
  <c r="BO72" i="4" s="1"/>
  <c r="N73" i="4"/>
  <c r="BO73" i="4" s="1"/>
  <c r="BQ73" i="4" s="1"/>
  <c r="N74" i="4"/>
  <c r="BP74" i="4" s="1"/>
  <c r="BO75" i="4"/>
  <c r="N80" i="4"/>
  <c r="BO80" i="4" s="1"/>
  <c r="N81" i="4"/>
  <c r="BO81" i="4" s="1"/>
  <c r="BT81" i="4" s="1"/>
  <c r="N82" i="4"/>
  <c r="BP82" i="4" s="1"/>
  <c r="N83" i="4"/>
  <c r="BO83" i="4" s="1"/>
  <c r="N84" i="4"/>
  <c r="BO84" i="4" s="1"/>
  <c r="BT84" i="4" s="1"/>
  <c r="N85" i="4"/>
  <c r="BO85" i="4" s="1"/>
  <c r="BT85" i="4" s="1"/>
  <c r="N86" i="4"/>
  <c r="BP86" i="4" s="1"/>
  <c r="N87" i="4"/>
  <c r="BO87" i="4" s="1"/>
  <c r="BO94" i="4"/>
  <c r="N95" i="4"/>
  <c r="BO95" i="4" s="1"/>
  <c r="BP96" i="4"/>
  <c r="N97" i="4"/>
  <c r="BO97" i="4" s="1"/>
  <c r="N100" i="4"/>
  <c r="BO100" i="4" s="1"/>
  <c r="N102" i="4"/>
  <c r="BO102" i="4" s="1"/>
  <c r="N103" i="4"/>
  <c r="BP103" i="4" s="1"/>
  <c r="BO104" i="4"/>
  <c r="N106" i="4"/>
  <c r="BO106" i="4" s="1"/>
  <c r="N107" i="4"/>
  <c r="BO107" i="4" s="1"/>
  <c r="N109" i="4"/>
  <c r="BP109" i="4" s="1"/>
  <c r="BO110" i="4"/>
  <c r="N112" i="4"/>
  <c r="BO112" i="4" s="1"/>
  <c r="N114" i="4"/>
  <c r="BO114" i="4" s="1"/>
  <c r="N115" i="4"/>
  <c r="BP115" i="4" s="1"/>
  <c r="N116" i="4"/>
  <c r="BO116" i="4" s="1"/>
  <c r="N118" i="4"/>
  <c r="BO118" i="4" s="1"/>
  <c r="N119" i="4"/>
  <c r="BO119" i="4" s="1"/>
  <c r="N122" i="4"/>
  <c r="BP122" i="4" s="1"/>
  <c r="BO123" i="4"/>
  <c r="BO124" i="4"/>
  <c r="BO126" i="4"/>
  <c r="BP4" i="4"/>
  <c r="E123" i="4"/>
  <c r="H23" i="11" s="1"/>
  <c r="E119" i="4"/>
  <c r="H19" i="11" s="1"/>
  <c r="E116" i="4"/>
  <c r="H16" i="11" s="1"/>
  <c r="E114" i="4"/>
  <c r="H14" i="11" s="1"/>
  <c r="E69" i="4"/>
  <c r="E18" i="11" s="1"/>
  <c r="E52" i="4"/>
  <c r="B52" i="11" s="1"/>
  <c r="E49" i="4"/>
  <c r="B49" i="11" s="1"/>
  <c r="E29" i="4"/>
  <c r="B29" i="11" s="1"/>
  <c r="E20" i="4"/>
  <c r="B20" i="11" s="1"/>
  <c r="E26" i="4"/>
  <c r="B26" i="11" s="1"/>
  <c r="E13" i="4"/>
  <c r="B13" i="11" s="1"/>
  <c r="E5" i="4"/>
  <c r="B5" i="11" s="1"/>
  <c r="E10" i="4"/>
  <c r="B10" i="11" s="1"/>
  <c r="E14" i="4"/>
  <c r="B14" i="11" s="1"/>
  <c r="E17" i="4"/>
  <c r="B17" i="11" s="1"/>
  <c r="E19" i="4"/>
  <c r="B19" i="11" s="1"/>
  <c r="E23" i="4"/>
  <c r="B23" i="11" s="1"/>
  <c r="E27" i="4"/>
  <c r="B27" i="11" s="1"/>
  <c r="E34" i="4"/>
  <c r="B34" i="11" s="1"/>
  <c r="E35" i="4"/>
  <c r="B35" i="11" s="1"/>
  <c r="E45" i="4"/>
  <c r="B45" i="11" s="1"/>
  <c r="E47" i="4"/>
  <c r="B47" i="11" s="1"/>
  <c r="E50" i="4"/>
  <c r="B50" i="11" s="1"/>
  <c r="E53" i="4"/>
  <c r="B53" i="11" s="1"/>
  <c r="E57" i="4"/>
  <c r="E6" i="11" s="1"/>
  <c r="E59" i="4"/>
  <c r="E8" i="11" s="1"/>
  <c r="E60" i="4"/>
  <c r="E9" i="11" s="1"/>
  <c r="E62" i="4"/>
  <c r="E11" i="11" s="1"/>
  <c r="E65" i="4"/>
  <c r="E14" i="11" s="1"/>
  <c r="E66" i="4"/>
  <c r="E15" i="11" s="1"/>
  <c r="E67" i="4"/>
  <c r="E16" i="11" s="1"/>
  <c r="E72" i="4"/>
  <c r="E21" i="11" s="1"/>
  <c r="E73" i="4"/>
  <c r="E22" i="11" s="1"/>
  <c r="E74" i="4"/>
  <c r="E23" i="11" s="1"/>
  <c r="E80" i="4"/>
  <c r="E29" i="11" s="1"/>
  <c r="E81" i="4"/>
  <c r="E30" i="11" s="1"/>
  <c r="E106" i="4"/>
  <c r="H6" i="11" s="1"/>
  <c r="E107" i="4"/>
  <c r="H7" i="11" s="1"/>
  <c r="E109" i="4"/>
  <c r="H9" i="11" s="1"/>
  <c r="E112" i="4"/>
  <c r="H12" i="11" s="1"/>
  <c r="E115" i="4"/>
  <c r="H15" i="11" s="1"/>
  <c r="E118" i="4"/>
  <c r="H18" i="11" s="1"/>
  <c r="E122" i="4"/>
  <c r="H22" i="11" s="1"/>
  <c r="E124" i="4"/>
  <c r="H24" i="11" s="1"/>
  <c r="E126" i="4"/>
  <c r="H26" i="11" s="1"/>
  <c r="E9" i="4"/>
  <c r="B9" i="11" s="1"/>
  <c r="BS39" i="4" l="1"/>
  <c r="BT39" i="4"/>
  <c r="BS19" i="4"/>
  <c r="BT19" i="4"/>
  <c r="BS36" i="4"/>
  <c r="BT36" i="4"/>
  <c r="BS20" i="4"/>
  <c r="BT20" i="4"/>
  <c r="G30" i="4"/>
  <c r="D30" i="11" s="1"/>
  <c r="BR67" i="4"/>
  <c r="I26" i="4"/>
  <c r="I66" i="4"/>
  <c r="I85" i="4"/>
  <c r="I10" i="4"/>
  <c r="I32" i="4"/>
  <c r="I81" i="4"/>
  <c r="I20" i="4"/>
  <c r="I53" i="4"/>
  <c r="B24" i="6"/>
  <c r="D23" i="6"/>
  <c r="I31" i="4"/>
  <c r="I83" i="4"/>
  <c r="I39" i="4"/>
  <c r="BS53" i="4"/>
  <c r="BR53" i="4"/>
  <c r="BR37" i="4"/>
  <c r="BQ37" i="4"/>
  <c r="BR83" i="4"/>
  <c r="BS83" i="4"/>
  <c r="BS26" i="4"/>
  <c r="BS84" i="4"/>
  <c r="BR84" i="4"/>
  <c r="BS66" i="4"/>
  <c r="BR85" i="4"/>
  <c r="BS85" i="4"/>
  <c r="BS81" i="4"/>
  <c r="BR81" i="4"/>
  <c r="BR59" i="4"/>
  <c r="BQ59" i="4"/>
  <c r="BR45" i="4"/>
  <c r="BQ45" i="4"/>
  <c r="BR41" i="4"/>
  <c r="BQ41" i="4"/>
  <c r="BR20" i="4"/>
  <c r="D51" i="11"/>
  <c r="M41" i="4"/>
  <c r="M39" i="4"/>
  <c r="M43" i="4"/>
  <c r="M38" i="4"/>
  <c r="D52" i="11"/>
  <c r="D34" i="11"/>
  <c r="M37" i="4"/>
  <c r="M40" i="4"/>
  <c r="M42" i="4"/>
  <c r="O9" i="6"/>
  <c r="P8" i="6"/>
  <c r="BO51" i="4"/>
  <c r="BO8" i="4"/>
  <c r="BS8" i="4" s="1"/>
  <c r="BO125" i="4"/>
  <c r="BO111" i="4"/>
  <c r="BP37" i="4"/>
  <c r="BO21" i="4"/>
  <c r="BQ21" i="4" s="1"/>
  <c r="BO16" i="4"/>
  <c r="BO4" i="4"/>
  <c r="BO122" i="4"/>
  <c r="BO115" i="4"/>
  <c r="BO109" i="4"/>
  <c r="BO103" i="4"/>
  <c r="BO96" i="4"/>
  <c r="BO86" i="4"/>
  <c r="BO82" i="4"/>
  <c r="BO74" i="4"/>
  <c r="BO68" i="4"/>
  <c r="BO63" i="4"/>
  <c r="BO57" i="4"/>
  <c r="BO52" i="4"/>
  <c r="BU52" i="4" s="1"/>
  <c r="BO47" i="4"/>
  <c r="BO42" i="4"/>
  <c r="BO38" i="4"/>
  <c r="BO29" i="4"/>
  <c r="BO23" i="4"/>
  <c r="BO17" i="4"/>
  <c r="BO9" i="4"/>
  <c r="BP126" i="4"/>
  <c r="BP119" i="4"/>
  <c r="BP114" i="4"/>
  <c r="BP107" i="4"/>
  <c r="BQ107" i="4" s="1"/>
  <c r="BP102" i="4"/>
  <c r="BP95" i="4"/>
  <c r="BP85" i="4"/>
  <c r="BQ85" i="4" s="1"/>
  <c r="BP81" i="4"/>
  <c r="BQ81" i="4" s="1"/>
  <c r="BP73" i="4"/>
  <c r="BP67" i="4"/>
  <c r="BQ67" i="4" s="1"/>
  <c r="BP62" i="4"/>
  <c r="BP55" i="4"/>
  <c r="BP50" i="4"/>
  <c r="BP45" i="4"/>
  <c r="BP41" i="4"/>
  <c r="BP36" i="4"/>
  <c r="BQ36" i="4" s="1"/>
  <c r="BP28" i="4"/>
  <c r="BP20" i="4"/>
  <c r="BQ20" i="4" s="1"/>
  <c r="BP14" i="4"/>
  <c r="BP124" i="4"/>
  <c r="BP118" i="4"/>
  <c r="BP112" i="4"/>
  <c r="BP106" i="4"/>
  <c r="BP100" i="4"/>
  <c r="BP94" i="4"/>
  <c r="BP84" i="4"/>
  <c r="BQ84" i="4" s="1"/>
  <c r="BP80" i="4"/>
  <c r="BP72" i="4"/>
  <c r="BP66" i="4"/>
  <c r="BQ66" i="4" s="1"/>
  <c r="BP60" i="4"/>
  <c r="BP54" i="4"/>
  <c r="BP49" i="4"/>
  <c r="BP44" i="4"/>
  <c r="BP40" i="4"/>
  <c r="BQ40" i="4" s="1"/>
  <c r="BP35" i="4"/>
  <c r="BQ35" i="4" s="1"/>
  <c r="BP27" i="4"/>
  <c r="BP19" i="4"/>
  <c r="BR19" i="4" s="1"/>
  <c r="BP13" i="4"/>
  <c r="BP5" i="4"/>
  <c r="BP123" i="4"/>
  <c r="BP116" i="4"/>
  <c r="BQ116" i="4" s="1"/>
  <c r="BP110" i="4"/>
  <c r="BP104" i="4"/>
  <c r="BP97" i="4"/>
  <c r="BP87" i="4"/>
  <c r="BQ87" i="4" s="1"/>
  <c r="BP83" i="4"/>
  <c r="BQ83" i="4" s="1"/>
  <c r="BP75" i="4"/>
  <c r="BP69" i="4"/>
  <c r="BP65" i="4"/>
  <c r="BP59" i="4"/>
  <c r="BP53" i="4"/>
  <c r="BU53" i="4" s="1"/>
  <c r="BP48" i="4"/>
  <c r="BP43" i="4"/>
  <c r="BP39" i="4"/>
  <c r="BQ39" i="4" s="1"/>
  <c r="BP34" i="4"/>
  <c r="BP26" i="4"/>
  <c r="BQ26" i="4" s="1"/>
  <c r="BP18" i="4"/>
  <c r="BP10" i="4"/>
  <c r="BR39" i="4" l="1"/>
  <c r="BU2" i="4"/>
  <c r="BQ51" i="4"/>
  <c r="BT51" i="4"/>
  <c r="BS29" i="4"/>
  <c r="BT29" i="4"/>
  <c r="G53" i="4"/>
  <c r="E51" i="12" s="1"/>
  <c r="G31" i="4"/>
  <c r="D31" i="11" s="1"/>
  <c r="G32" i="4"/>
  <c r="D32" i="11" s="1"/>
  <c r="T2" i="4"/>
  <c r="BS57" i="4"/>
  <c r="BQ57" i="4"/>
  <c r="BS82" i="4"/>
  <c r="BQ82" i="4"/>
  <c r="BQ53" i="4"/>
  <c r="I19" i="4"/>
  <c r="I6" i="4"/>
  <c r="I29" i="4"/>
  <c r="B25" i="6"/>
  <c r="D24" i="6"/>
  <c r="BS86" i="4"/>
  <c r="BQ86" i="4"/>
  <c r="BR35" i="4"/>
  <c r="BQ19" i="4"/>
  <c r="BR29" i="4"/>
  <c r="BQ29" i="4"/>
  <c r="BR36" i="4"/>
  <c r="I11" i="12"/>
  <c r="J14" i="12"/>
  <c r="I15" i="12"/>
  <c r="L16" i="12"/>
  <c r="K17" i="12"/>
  <c r="J18" i="12"/>
  <c r="I19" i="12"/>
  <c r="M19" i="12"/>
  <c r="L20" i="12"/>
  <c r="K21" i="12"/>
  <c r="J22" i="12"/>
  <c r="I12" i="12"/>
  <c r="J15" i="12"/>
  <c r="I16" i="12"/>
  <c r="M16" i="12"/>
  <c r="L17" i="12"/>
  <c r="K18" i="12"/>
  <c r="J19" i="12"/>
  <c r="I20" i="12"/>
  <c r="M20" i="12"/>
  <c r="L21" i="12"/>
  <c r="K22" i="12"/>
  <c r="I13" i="12"/>
  <c r="J16" i="12"/>
  <c r="I17" i="12"/>
  <c r="M17" i="12"/>
  <c r="L18" i="12"/>
  <c r="K19" i="12"/>
  <c r="J20" i="12"/>
  <c r="I21" i="12"/>
  <c r="M21" i="12"/>
  <c r="L22" i="12"/>
  <c r="I10" i="12"/>
  <c r="J13" i="12"/>
  <c r="I14" i="12"/>
  <c r="K16" i="12"/>
  <c r="J17" i="12"/>
  <c r="I18" i="12"/>
  <c r="M18" i="12"/>
  <c r="L19" i="12"/>
  <c r="K20" i="12"/>
  <c r="J21" i="12"/>
  <c r="I22" i="12"/>
  <c r="M22" i="12"/>
  <c r="H19" i="12"/>
  <c r="H17" i="12"/>
  <c r="H21" i="12"/>
  <c r="H18" i="12"/>
  <c r="H22" i="12"/>
  <c r="H16" i="12"/>
  <c r="H20" i="12"/>
  <c r="G4" i="12"/>
  <c r="G24" i="12"/>
  <c r="O10" i="6"/>
  <c r="P9" i="6"/>
  <c r="I35" i="4" s="1"/>
  <c r="BT2" i="4" l="1"/>
  <c r="BR2" i="4"/>
  <c r="BS2" i="4"/>
  <c r="BQ2" i="4"/>
  <c r="S2" i="4"/>
  <c r="D53" i="11"/>
  <c r="B41" i="12"/>
  <c r="M51" i="12"/>
  <c r="G29" i="4"/>
  <c r="J51" i="12"/>
  <c r="Q2" i="4"/>
  <c r="R2" i="4"/>
  <c r="P2" i="4"/>
  <c r="I5" i="4"/>
  <c r="B26" i="6"/>
  <c r="D25" i="6"/>
  <c r="O11" i="6"/>
  <c r="P10" i="6"/>
  <c r="D29" i="11" l="1"/>
  <c r="B27" i="6"/>
  <c r="D26" i="6"/>
  <c r="O12" i="6"/>
  <c r="P11" i="6"/>
  <c r="B28" i="6" l="1"/>
  <c r="D27" i="6"/>
  <c r="O13" i="6"/>
  <c r="P12" i="6"/>
  <c r="B29" i="6" l="1"/>
  <c r="D28" i="6"/>
  <c r="O14" i="6"/>
  <c r="P13" i="6"/>
  <c r="B30" i="6" l="1"/>
  <c r="D29" i="6"/>
  <c r="O15" i="6"/>
  <c r="P14" i="6"/>
  <c r="B31" i="6" l="1"/>
  <c r="D30" i="6"/>
  <c r="O16" i="6"/>
  <c r="P15" i="6"/>
  <c r="B32" i="6" l="1"/>
  <c r="D31" i="6"/>
  <c r="O17" i="6"/>
  <c r="P16" i="6"/>
  <c r="B33" i="6" l="1"/>
  <c r="D32" i="6"/>
  <c r="O18" i="6"/>
  <c r="P17" i="6"/>
  <c r="B34" i="6" l="1"/>
  <c r="D33" i="6"/>
  <c r="O19" i="6"/>
  <c r="P18" i="6"/>
  <c r="B35" i="6" l="1"/>
  <c r="D34" i="6"/>
  <c r="O20" i="6"/>
  <c r="P19" i="6"/>
  <c r="B36" i="6" l="1"/>
  <c r="D35" i="6"/>
  <c r="O21" i="6"/>
  <c r="P20" i="6"/>
  <c r="B37" i="6" l="1"/>
  <c r="D36" i="6"/>
  <c r="O22" i="6"/>
  <c r="P21" i="6"/>
  <c r="B38" i="6" l="1"/>
  <c r="D37" i="6"/>
  <c r="O23" i="6"/>
  <c r="P22" i="6"/>
  <c r="B39" i="6" l="1"/>
  <c r="D38" i="6"/>
  <c r="O24" i="6"/>
  <c r="P23" i="6"/>
  <c r="B40" i="6" l="1"/>
  <c r="D39" i="6"/>
  <c r="O25" i="6"/>
  <c r="P24" i="6"/>
  <c r="B41" i="6" l="1"/>
  <c r="D40" i="6"/>
  <c r="O26" i="6"/>
  <c r="P25" i="6"/>
  <c r="B42" i="6" l="1"/>
  <c r="D41" i="6"/>
  <c r="O27" i="6"/>
  <c r="P26" i="6"/>
  <c r="B43" i="6" l="1"/>
  <c r="D42" i="6"/>
  <c r="O28" i="6"/>
  <c r="P27" i="6"/>
  <c r="B44" i="6" l="1"/>
  <c r="D43" i="6"/>
  <c r="O29" i="6"/>
  <c r="P28" i="6"/>
  <c r="B45" i="6" l="1"/>
  <c r="D44" i="6"/>
  <c r="O30" i="6"/>
  <c r="P29" i="6"/>
  <c r="B46" i="6" l="1"/>
  <c r="D45" i="6"/>
  <c r="P30" i="6"/>
  <c r="O31" i="6"/>
  <c r="B47" i="6" l="1"/>
  <c r="D46" i="6"/>
  <c r="O32" i="6"/>
  <c r="P31" i="6"/>
  <c r="B48" i="6" l="1"/>
  <c r="D47" i="6"/>
  <c r="O33" i="6"/>
  <c r="P32" i="6"/>
  <c r="B49" i="6" l="1"/>
  <c r="D48" i="6"/>
  <c r="O34" i="6"/>
  <c r="P33" i="6"/>
  <c r="B50" i="6" l="1"/>
  <c r="D49" i="6"/>
  <c r="O35" i="6"/>
  <c r="P34" i="6"/>
  <c r="B51" i="6" l="1"/>
  <c r="D50" i="6"/>
  <c r="O36" i="6"/>
  <c r="P35" i="6"/>
  <c r="B52" i="6" l="1"/>
  <c r="D51" i="6"/>
  <c r="O37" i="6"/>
  <c r="P36" i="6"/>
  <c r="B53" i="6" l="1"/>
  <c r="D52" i="6"/>
  <c r="O38" i="6"/>
  <c r="P37" i="6"/>
  <c r="B54" i="6" l="1"/>
  <c r="D53" i="6"/>
  <c r="P38" i="6"/>
  <c r="O39" i="6"/>
  <c r="B55" i="6" l="1"/>
  <c r="AP13" i="1"/>
  <c r="AT13" i="1"/>
  <c r="AX13" i="1"/>
  <c r="BB13" i="1"/>
  <c r="BF13" i="1"/>
  <c r="BJ13" i="1"/>
  <c r="BN13" i="1"/>
  <c r="BR13" i="1"/>
  <c r="AV13" i="1"/>
  <c r="BD13" i="1"/>
  <c r="BL13" i="1"/>
  <c r="AY13" i="1"/>
  <c r="BG13" i="1"/>
  <c r="BO13" i="1"/>
  <c r="AO13" i="1"/>
  <c r="AS13" i="1"/>
  <c r="AW13" i="1"/>
  <c r="BA13" i="1"/>
  <c r="BE13" i="1"/>
  <c r="BI13" i="1"/>
  <c r="BM13" i="1"/>
  <c r="BQ13" i="1"/>
  <c r="AR13" i="1"/>
  <c r="AZ13" i="1"/>
  <c r="BH13" i="1"/>
  <c r="BP13" i="1"/>
  <c r="AQ13" i="1"/>
  <c r="AU13" i="1"/>
  <c r="BC13" i="1"/>
  <c r="BK13" i="1"/>
  <c r="D54" i="6"/>
  <c r="X13" i="1"/>
  <c r="AB13" i="1"/>
  <c r="AF13" i="1"/>
  <c r="AJ13" i="1"/>
  <c r="AN13" i="1"/>
  <c r="AN14" i="1" s="1"/>
  <c r="J11" i="1"/>
  <c r="M11" i="1" s="1"/>
  <c r="Z13" i="1"/>
  <c r="AH13" i="1"/>
  <c r="J10" i="1"/>
  <c r="M10" i="1" s="1"/>
  <c r="Y13" i="1"/>
  <c r="AG13" i="1"/>
  <c r="AA13" i="1"/>
  <c r="AE13" i="1"/>
  <c r="AI13" i="1"/>
  <c r="AM13" i="1"/>
  <c r="AD13" i="1"/>
  <c r="AL13" i="1"/>
  <c r="AC13" i="1"/>
  <c r="AK13" i="1"/>
  <c r="P39" i="6"/>
  <c r="O40" i="6"/>
  <c r="G11" i="6" l="1"/>
  <c r="G12" i="6"/>
  <c r="J19" i="1"/>
  <c r="M19" i="1" s="1"/>
  <c r="D55" i="6"/>
  <c r="B56" i="6"/>
  <c r="J4" i="1"/>
  <c r="M4" i="1" s="1"/>
  <c r="O41" i="6"/>
  <c r="P40" i="6"/>
  <c r="B63" i="1" l="1"/>
  <c r="G5" i="6"/>
  <c r="J18" i="1"/>
  <c r="M18" i="1" s="1"/>
  <c r="J17" i="1"/>
  <c r="M17" i="1" s="1"/>
  <c r="D56" i="6"/>
  <c r="B57" i="6"/>
  <c r="O42" i="6"/>
  <c r="P41" i="6"/>
  <c r="J46" i="4" l="1"/>
  <c r="G46" i="4" s="1"/>
  <c r="D46" i="11" s="1"/>
  <c r="J19" i="4"/>
  <c r="G19" i="4" s="1"/>
  <c r="J45" i="4"/>
  <c r="G45" i="4" s="1"/>
  <c r="D45" i="11" s="1"/>
  <c r="D57" i="6"/>
  <c r="B58" i="6"/>
  <c r="O43" i="6"/>
  <c r="P42" i="6"/>
  <c r="P5" i="1" l="1"/>
  <c r="P6" i="1"/>
  <c r="D19" i="11"/>
  <c r="D58" i="6"/>
  <c r="B59" i="6"/>
  <c r="O44" i="6"/>
  <c r="P43" i="6"/>
  <c r="D59" i="6" l="1"/>
  <c r="B60" i="6"/>
  <c r="O45" i="6"/>
  <c r="P44" i="6"/>
  <c r="D60" i="6" l="1"/>
  <c r="B61" i="6"/>
  <c r="O46" i="6"/>
  <c r="P45" i="6"/>
  <c r="D61" i="6" l="1"/>
  <c r="B62" i="6"/>
  <c r="O47" i="6"/>
  <c r="P46" i="6"/>
  <c r="D62" i="6" l="1"/>
  <c r="B63" i="6"/>
  <c r="O48" i="6"/>
  <c r="P47" i="6"/>
  <c r="D63" i="6" l="1"/>
  <c r="B64" i="6"/>
  <c r="O49" i="6"/>
  <c r="P48" i="6"/>
  <c r="D64" i="6" l="1"/>
  <c r="B65" i="6"/>
  <c r="O50" i="6"/>
  <c r="P49" i="6"/>
  <c r="D65" i="6" l="1"/>
  <c r="B66" i="6"/>
  <c r="O51" i="6"/>
  <c r="P50" i="6"/>
  <c r="D66" i="6" l="1"/>
  <c r="B67" i="6"/>
  <c r="O52" i="6"/>
  <c r="P51" i="6"/>
  <c r="D67" i="6" l="1"/>
  <c r="B68" i="6"/>
  <c r="O53" i="6"/>
  <c r="P52" i="6"/>
  <c r="D68" i="6" l="1"/>
  <c r="B69" i="6"/>
  <c r="O54" i="6"/>
  <c r="P53" i="6"/>
  <c r="D69" i="6" l="1"/>
  <c r="B70" i="6"/>
  <c r="P54" i="6"/>
  <c r="O55" i="6"/>
  <c r="D70" i="6" l="1"/>
  <c r="B71" i="6"/>
  <c r="P55" i="6"/>
  <c r="O56" i="6"/>
  <c r="D71" i="6" l="1"/>
  <c r="B72" i="6"/>
  <c r="O57" i="6"/>
  <c r="P56" i="6"/>
  <c r="D72" i="6" l="1"/>
  <c r="B73" i="6"/>
  <c r="O58" i="6"/>
  <c r="P57" i="6"/>
  <c r="D73" i="6" l="1"/>
  <c r="B74" i="6"/>
  <c r="O59" i="6"/>
  <c r="P58" i="6"/>
  <c r="D74" i="6" l="1"/>
  <c r="B75" i="6"/>
  <c r="O60" i="6"/>
  <c r="P59" i="6"/>
  <c r="D75" i="6" l="1"/>
  <c r="B76" i="6"/>
  <c r="O61" i="6"/>
  <c r="P60" i="6"/>
  <c r="D76" i="6" l="1"/>
  <c r="B77" i="6"/>
  <c r="O62" i="6"/>
  <c r="P61" i="6"/>
  <c r="D77" i="6" l="1"/>
  <c r="B78" i="6"/>
  <c r="O63" i="6"/>
  <c r="P62" i="6"/>
  <c r="D78" i="6" l="1"/>
  <c r="B79" i="6"/>
  <c r="O64" i="6"/>
  <c r="P63" i="6"/>
  <c r="D79" i="6" l="1"/>
  <c r="B80" i="6"/>
  <c r="J7" i="1"/>
  <c r="M7" i="1" s="1"/>
  <c r="J9" i="1"/>
  <c r="M9" i="1" s="1"/>
  <c r="P4" i="1" s="1"/>
  <c r="J5" i="1"/>
  <c r="M5" i="1" s="1"/>
  <c r="J8" i="1"/>
  <c r="M8" i="1" s="1"/>
  <c r="O65" i="6"/>
  <c r="P64" i="6"/>
  <c r="G8" i="6" l="1"/>
  <c r="J15" i="4" s="1"/>
  <c r="G15" i="4" s="1"/>
  <c r="D15" i="11" s="1"/>
  <c r="J76" i="4"/>
  <c r="AH14" i="5"/>
  <c r="AI13" i="5" s="1"/>
  <c r="AH18" i="5"/>
  <c r="AH15" i="5"/>
  <c r="G10" i="6"/>
  <c r="P18" i="1"/>
  <c r="P19" i="1" s="1"/>
  <c r="O66" i="6"/>
  <c r="P65" i="6"/>
  <c r="D80" i="6"/>
  <c r="B81" i="6"/>
  <c r="G9" i="6"/>
  <c r="J6" i="6"/>
  <c r="J16" i="1"/>
  <c r="M16" i="1" s="1"/>
  <c r="J5" i="6"/>
  <c r="G6" i="6"/>
  <c r="J9" i="6"/>
  <c r="J15" i="1"/>
  <c r="M15" i="1" s="1"/>
  <c r="J102" i="4" l="1"/>
  <c r="J94" i="4"/>
  <c r="J93" i="4"/>
  <c r="J97" i="4"/>
  <c r="J86" i="4"/>
  <c r="J98" i="4"/>
  <c r="J91" i="4"/>
  <c r="J88" i="4"/>
  <c r="J82" i="4"/>
  <c r="J85" i="4"/>
  <c r="J84" i="4"/>
  <c r="J90" i="4"/>
  <c r="J83" i="4"/>
  <c r="J100" i="4"/>
  <c r="J103" i="4"/>
  <c r="J92" i="4"/>
  <c r="J101" i="4"/>
  <c r="J95" i="4"/>
  <c r="J87" i="4"/>
  <c r="J99" i="4"/>
  <c r="J89" i="4"/>
  <c r="J96" i="4"/>
  <c r="J81" i="4"/>
  <c r="J80" i="4"/>
  <c r="J79" i="4"/>
  <c r="J77" i="4"/>
  <c r="J78" i="4"/>
  <c r="J14" i="4"/>
  <c r="G14" i="4" s="1"/>
  <c r="D14" i="11" s="1"/>
  <c r="J7" i="4"/>
  <c r="G7" i="4" s="1"/>
  <c r="D7" i="11" s="1"/>
  <c r="J111" i="4"/>
  <c r="G111" i="4" s="1"/>
  <c r="J11" i="11" s="1"/>
  <c r="J8" i="4"/>
  <c r="G8" i="4" s="1"/>
  <c r="D8" i="11" s="1"/>
  <c r="J16" i="4"/>
  <c r="G16" i="4" s="1"/>
  <c r="D16" i="11" s="1"/>
  <c r="J17" i="4"/>
  <c r="G17" i="4" s="1"/>
  <c r="D17" i="11" s="1"/>
  <c r="J112" i="4"/>
  <c r="G112" i="4" s="1"/>
  <c r="J12" i="11" s="1"/>
  <c r="J10" i="4"/>
  <c r="G10" i="4" s="1"/>
  <c r="D10" i="11" s="1"/>
  <c r="J5" i="4"/>
  <c r="G5" i="4" s="1"/>
  <c r="D5" i="11" s="1"/>
  <c r="J6" i="4"/>
  <c r="G6" i="4" s="1"/>
  <c r="D6" i="11" s="1"/>
  <c r="J11" i="4"/>
  <c r="G11" i="4" s="1"/>
  <c r="D11" i="11" s="1"/>
  <c r="J13" i="4"/>
  <c r="G13" i="4" s="1"/>
  <c r="D13" i="11" s="1"/>
  <c r="J12" i="4"/>
  <c r="G12" i="4" s="1"/>
  <c r="D12" i="11" s="1"/>
  <c r="J9" i="4"/>
  <c r="G9" i="4" s="1"/>
  <c r="D9" i="11" s="1"/>
  <c r="J56" i="4"/>
  <c r="G56" i="4" s="1"/>
  <c r="G5" i="11" s="1"/>
  <c r="J57" i="4"/>
  <c r="G57" i="4" s="1"/>
  <c r="G6" i="11" s="1"/>
  <c r="J47" i="4"/>
  <c r="G47" i="4" s="1"/>
  <c r="D47" i="11" s="1"/>
  <c r="J126" i="4"/>
  <c r="G126" i="4" s="1"/>
  <c r="J26" i="11" s="1"/>
  <c r="J125" i="4"/>
  <c r="G125" i="4" s="1"/>
  <c r="J25" i="11" s="1"/>
  <c r="J73" i="4"/>
  <c r="G73" i="4" s="1"/>
  <c r="G22" i="11" s="1"/>
  <c r="O67" i="6"/>
  <c r="P66" i="6"/>
  <c r="D81" i="6"/>
  <c r="B82" i="6"/>
  <c r="J123" i="4"/>
  <c r="G123" i="4" s="1"/>
  <c r="J23" i="11" s="1"/>
  <c r="J124" i="4"/>
  <c r="G124" i="4" s="1"/>
  <c r="J24" i="11" s="1"/>
  <c r="D82" i="6" l="1"/>
  <c r="B83" i="6"/>
  <c r="O68" i="6"/>
  <c r="P67" i="6"/>
  <c r="D83" i="6" l="1"/>
  <c r="B84" i="6"/>
  <c r="O69" i="6"/>
  <c r="P68" i="6"/>
  <c r="D84" i="6" l="1"/>
  <c r="B85" i="6"/>
  <c r="O70" i="6"/>
  <c r="P69" i="6"/>
  <c r="D85" i="6" l="1"/>
  <c r="B86" i="6"/>
  <c r="O71" i="6"/>
  <c r="P70" i="6"/>
  <c r="D86" i="6" l="1"/>
  <c r="B87" i="6"/>
  <c r="O72" i="6"/>
  <c r="P71" i="6"/>
  <c r="D87" i="6" l="1"/>
  <c r="B88" i="6"/>
  <c r="B89" i="6" s="1"/>
  <c r="B90" i="6" s="1"/>
  <c r="B91" i="6" s="1"/>
  <c r="B92" i="6" s="1"/>
  <c r="O73" i="6"/>
  <c r="P72" i="6"/>
  <c r="B93" i="6" l="1"/>
  <c r="B94" i="6" s="1"/>
  <c r="B95" i="6" s="1"/>
  <c r="B96" i="6" s="1"/>
  <c r="B97" i="6" s="1"/>
  <c r="B98" i="6" s="1"/>
  <c r="B99" i="6" s="1"/>
  <c r="B100" i="6" s="1"/>
  <c r="B101" i="6" s="1"/>
  <c r="B102" i="6" s="1"/>
  <c r="B103" i="6" s="1"/>
  <c r="B104" i="6" s="1"/>
  <c r="J3" i="1"/>
  <c r="M3" i="1" s="1"/>
  <c r="T13" i="1"/>
  <c r="V13" i="1"/>
  <c r="O74" i="6"/>
  <c r="P73" i="6"/>
  <c r="G4" i="6" l="1"/>
  <c r="U13" i="1"/>
  <c r="V14" i="1" s="1"/>
  <c r="J6" i="1"/>
  <c r="M6" i="1" s="1"/>
  <c r="J12" i="1"/>
  <c r="M12" i="1" s="1"/>
  <c r="O75" i="6"/>
  <c r="P74" i="6"/>
  <c r="W13" i="1"/>
  <c r="W14" i="1" s="1"/>
  <c r="AH17" i="5" l="1"/>
  <c r="AH13" i="5"/>
  <c r="AH16" i="5"/>
  <c r="AH19" i="5"/>
  <c r="J58" i="4"/>
  <c r="G58" i="4" s="1"/>
  <c r="G7" i="11" s="1"/>
  <c r="J60" i="4"/>
  <c r="G60" i="4" s="1"/>
  <c r="G9" i="11" s="1"/>
  <c r="J59" i="4"/>
  <c r="G59" i="4" s="1"/>
  <c r="G8" i="11" s="1"/>
  <c r="G13" i="6"/>
  <c r="J21" i="4" s="1"/>
  <c r="O76" i="6"/>
  <c r="P75" i="6"/>
  <c r="J106" i="4"/>
  <c r="G106" i="4" s="1"/>
  <c r="J6" i="11" s="1"/>
  <c r="J113" i="4"/>
  <c r="G113" i="4" s="1"/>
  <c r="J13" i="11" s="1"/>
  <c r="J114" i="4"/>
  <c r="G114" i="4" s="1"/>
  <c r="J14" i="11" s="1"/>
  <c r="J115" i="4"/>
  <c r="G115" i="4" s="1"/>
  <c r="J15" i="11" s="1"/>
  <c r="J105" i="4"/>
  <c r="G105" i="4" s="1"/>
  <c r="J5" i="11" s="1"/>
  <c r="J7" i="6"/>
  <c r="J4" i="6"/>
  <c r="J14" i="1"/>
  <c r="M14" i="1" s="1"/>
  <c r="J8" i="6"/>
  <c r="J10" i="6"/>
  <c r="G7" i="6"/>
  <c r="G14" i="6" l="1"/>
  <c r="J43" i="4" s="1"/>
  <c r="G43" i="4" s="1"/>
  <c r="D43" i="11" s="1"/>
  <c r="G103" i="4"/>
  <c r="G99" i="4"/>
  <c r="G96" i="4"/>
  <c r="G76" i="4"/>
  <c r="G93" i="4"/>
  <c r="G82" i="4"/>
  <c r="G100" i="4"/>
  <c r="G97" i="4"/>
  <c r="G79" i="4"/>
  <c r="G91" i="4"/>
  <c r="G101" i="4"/>
  <c r="G85" i="4"/>
  <c r="G94" i="4"/>
  <c r="G95" i="4"/>
  <c r="G80" i="4"/>
  <c r="G92" i="4"/>
  <c r="G89" i="4"/>
  <c r="G98" i="4"/>
  <c r="G87" i="4"/>
  <c r="G78" i="4"/>
  <c r="J107" i="4"/>
  <c r="J61" i="4"/>
  <c r="G61" i="4" s="1"/>
  <c r="G10" i="11" s="1"/>
  <c r="J62" i="4"/>
  <c r="G62" i="4" s="1"/>
  <c r="G11" i="11" s="1"/>
  <c r="J54" i="4"/>
  <c r="G54" i="4" s="1"/>
  <c r="D54" i="11" s="1"/>
  <c r="J50" i="4"/>
  <c r="G50" i="4" s="1"/>
  <c r="D50" i="11" s="1"/>
  <c r="J49" i="4"/>
  <c r="G49" i="4" s="1"/>
  <c r="D49" i="11" s="1"/>
  <c r="J39" i="4"/>
  <c r="J26" i="4"/>
  <c r="G26" i="4" s="1"/>
  <c r="D26" i="11" s="1"/>
  <c r="J36" i="4"/>
  <c r="J22" i="4"/>
  <c r="G22" i="4" s="1"/>
  <c r="D22" i="11" s="1"/>
  <c r="J37" i="4"/>
  <c r="G37" i="4" s="1"/>
  <c r="D37" i="11" s="1"/>
  <c r="J40" i="4"/>
  <c r="G40" i="4" s="1"/>
  <c r="D40" i="11" s="1"/>
  <c r="J20" i="4"/>
  <c r="G20" i="4" s="1"/>
  <c r="D20" i="11" s="1"/>
  <c r="J35" i="4"/>
  <c r="J25" i="4"/>
  <c r="G25" i="4" s="1"/>
  <c r="D25" i="11" s="1"/>
  <c r="J41" i="4"/>
  <c r="J23" i="4"/>
  <c r="G23" i="4" s="1"/>
  <c r="D23" i="11" s="1"/>
  <c r="J27" i="4"/>
  <c r="G27" i="4" s="1"/>
  <c r="D27" i="11" s="1"/>
  <c r="J24" i="4"/>
  <c r="G24" i="4" s="1"/>
  <c r="D24" i="11" s="1"/>
  <c r="J38" i="4"/>
  <c r="G38" i="4" s="1"/>
  <c r="D38" i="11" s="1"/>
  <c r="J42" i="4"/>
  <c r="G42" i="4" s="1"/>
  <c r="D42" i="11" s="1"/>
  <c r="G21" i="4"/>
  <c r="D21" i="11" s="1"/>
  <c r="O77" i="6"/>
  <c r="P76" i="6"/>
  <c r="J120" i="4"/>
  <c r="G120" i="4" s="1"/>
  <c r="J20" i="11" s="1"/>
  <c r="J67" i="4"/>
  <c r="G67" i="4" s="1"/>
  <c r="G16" i="11" s="1"/>
  <c r="J66" i="4"/>
  <c r="J64" i="4"/>
  <c r="G64" i="4" s="1"/>
  <c r="G13" i="11" s="1"/>
  <c r="J65" i="4"/>
  <c r="G65" i="4" s="1"/>
  <c r="G14" i="11" s="1"/>
  <c r="J122" i="4"/>
  <c r="G122" i="4" s="1"/>
  <c r="J22" i="11" s="1"/>
  <c r="J121" i="4"/>
  <c r="G121" i="4" s="1"/>
  <c r="J21" i="11" s="1"/>
  <c r="J119" i="4"/>
  <c r="G119" i="4" s="1"/>
  <c r="J19" i="11" s="1"/>
  <c r="J70" i="4"/>
  <c r="G70" i="4" s="1"/>
  <c r="G19" i="11" s="1"/>
  <c r="J69" i="4"/>
  <c r="G69" i="4" s="1"/>
  <c r="G18" i="11" s="1"/>
  <c r="J74" i="4"/>
  <c r="G74" i="4" s="1"/>
  <c r="G23" i="11" s="1"/>
  <c r="J71" i="4"/>
  <c r="G71" i="4" s="1"/>
  <c r="G20" i="11" s="1"/>
  <c r="J72" i="4"/>
  <c r="G72" i="4" s="1"/>
  <c r="G21" i="11" s="1"/>
  <c r="G90" i="4"/>
  <c r="G88" i="4"/>
  <c r="G86" i="4"/>
  <c r="G83" i="4"/>
  <c r="G102" i="4"/>
  <c r="G84" i="4"/>
  <c r="J118" i="4"/>
  <c r="G118" i="4" s="1"/>
  <c r="J18" i="11" s="1"/>
  <c r="J108" i="4"/>
  <c r="G108" i="4" s="1"/>
  <c r="J8" i="11" s="1"/>
  <c r="J109" i="4"/>
  <c r="G109" i="4" s="1"/>
  <c r="J9" i="11" s="1"/>
  <c r="J117" i="4"/>
  <c r="G117" i="4" s="1"/>
  <c r="J17" i="11" s="1"/>
  <c r="J116" i="4"/>
  <c r="G116" i="4" s="1"/>
  <c r="J16" i="11" s="1"/>
  <c r="E5" i="12" l="1"/>
  <c r="E22" i="12"/>
  <c r="E6" i="12"/>
  <c r="E19" i="12"/>
  <c r="E23" i="12"/>
  <c r="E10" i="12"/>
  <c r="E14" i="12"/>
  <c r="E21" i="12"/>
  <c r="E20" i="12"/>
  <c r="E24" i="12"/>
  <c r="E18" i="12"/>
  <c r="E15" i="12"/>
  <c r="E26" i="12"/>
  <c r="E8" i="12"/>
  <c r="E7" i="12"/>
  <c r="E25" i="12"/>
  <c r="E9" i="12"/>
  <c r="E13" i="12"/>
  <c r="E16" i="12"/>
  <c r="E17" i="12"/>
  <c r="E12" i="12"/>
  <c r="E11" i="12"/>
  <c r="G81" i="4"/>
  <c r="P7" i="1" s="1"/>
  <c r="K62" i="1" s="1"/>
  <c r="G35" i="4"/>
  <c r="D35" i="11" s="1"/>
  <c r="G66" i="4"/>
  <c r="G15" i="11" s="1"/>
  <c r="G41" i="4"/>
  <c r="D41" i="11" s="1"/>
  <c r="G39" i="4"/>
  <c r="G27" i="11"/>
  <c r="E55" i="12"/>
  <c r="G36" i="11"/>
  <c r="D10" i="12"/>
  <c r="G48" i="11"/>
  <c r="D22" i="12"/>
  <c r="G42" i="11"/>
  <c r="D16" i="12"/>
  <c r="G29" i="11"/>
  <c r="E57" i="12"/>
  <c r="D17" i="12"/>
  <c r="G43" i="11"/>
  <c r="G47" i="11"/>
  <c r="D21" i="12"/>
  <c r="D23" i="12"/>
  <c r="G49" i="11"/>
  <c r="G28" i="11"/>
  <c r="E56" i="12"/>
  <c r="G52" i="11"/>
  <c r="D26" i="12"/>
  <c r="G31" i="11"/>
  <c r="D5" i="12"/>
  <c r="G41" i="11"/>
  <c r="D15" i="12"/>
  <c r="D11" i="12"/>
  <c r="G37" i="11"/>
  <c r="D14" i="12"/>
  <c r="G40" i="11"/>
  <c r="G50" i="11"/>
  <c r="D24" i="12"/>
  <c r="G44" i="11"/>
  <c r="D18" i="12"/>
  <c r="O78" i="6"/>
  <c r="P77" i="6"/>
  <c r="G33" i="11"/>
  <c r="D7" i="12"/>
  <c r="G34" i="11"/>
  <c r="D8" i="12"/>
  <c r="G38" i="11"/>
  <c r="D12" i="12"/>
  <c r="G35" i="11"/>
  <c r="D9" i="12"/>
  <c r="G46" i="11"/>
  <c r="D20" i="12"/>
  <c r="G51" i="11"/>
  <c r="D25" i="12"/>
  <c r="G45" i="11"/>
  <c r="D19" i="12"/>
  <c r="G25" i="11"/>
  <c r="E53" i="12"/>
  <c r="G32" i="11"/>
  <c r="D6" i="12"/>
  <c r="G39" i="11"/>
  <c r="D13" i="12"/>
  <c r="T14" i="12" l="1"/>
  <c r="S11" i="12"/>
  <c r="U9" i="12"/>
  <c r="U10" i="12"/>
  <c r="R12" i="12"/>
  <c r="S13" i="12"/>
  <c r="S14" i="12"/>
  <c r="U12" i="12"/>
  <c r="R11" i="12"/>
  <c r="T9" i="12"/>
  <c r="T15" i="12"/>
  <c r="R9" i="12"/>
  <c r="U13" i="12"/>
  <c r="T10" i="12"/>
  <c r="T13" i="12"/>
  <c r="U11" i="12"/>
  <c r="U14" i="12"/>
  <c r="U15" i="12"/>
  <c r="T12" i="12"/>
  <c r="S9" i="12"/>
  <c r="S12" i="12"/>
  <c r="S15" i="12"/>
  <c r="S10" i="12"/>
  <c r="R10" i="12"/>
  <c r="T11" i="12"/>
  <c r="U21" i="12"/>
  <c r="Q18" i="12"/>
  <c r="Q16" i="12"/>
  <c r="S22" i="12"/>
  <c r="U17" i="12"/>
  <c r="Q15" i="12"/>
  <c r="Q21" i="12"/>
  <c r="T17" i="12"/>
  <c r="R17" i="12"/>
  <c r="U22" i="12"/>
  <c r="R19" i="12"/>
  <c r="S20" i="12"/>
  <c r="R18" i="12"/>
  <c r="U19" i="12"/>
  <c r="T16" i="12"/>
  <c r="Q17" i="12"/>
  <c r="R15" i="12"/>
  <c r="Q19" i="12"/>
  <c r="Q20" i="12"/>
  <c r="U16" i="12"/>
  <c r="Q13" i="12"/>
  <c r="R20" i="12"/>
  <c r="U20" i="12"/>
  <c r="S21" i="12"/>
  <c r="Q10" i="12"/>
  <c r="S19" i="12"/>
  <c r="T21" i="12"/>
  <c r="R14" i="12"/>
  <c r="Q14" i="12"/>
  <c r="Q22" i="12"/>
  <c r="S18" i="12"/>
  <c r="Q11" i="12"/>
  <c r="R13" i="12"/>
  <c r="R16" i="12"/>
  <c r="S17" i="12"/>
  <c r="R22" i="12"/>
  <c r="S16" i="12"/>
  <c r="T20" i="12"/>
  <c r="T19" i="12"/>
  <c r="U18" i="12"/>
  <c r="R21" i="12"/>
  <c r="Q12" i="12"/>
  <c r="T22" i="12"/>
  <c r="T18" i="12"/>
  <c r="P9" i="12"/>
  <c r="Q9" i="12"/>
  <c r="P12" i="12"/>
  <c r="P15" i="12"/>
  <c r="P11" i="12"/>
  <c r="P10" i="12"/>
  <c r="P13" i="12"/>
  <c r="P14" i="12"/>
  <c r="P21" i="12"/>
  <c r="P19" i="12"/>
  <c r="P16" i="12"/>
  <c r="P17" i="12"/>
  <c r="P22" i="12"/>
  <c r="P18" i="12"/>
  <c r="P20" i="12"/>
  <c r="D39" i="11"/>
  <c r="AS31" i="1"/>
  <c r="G30" i="11"/>
  <c r="O79" i="6"/>
  <c r="P78" i="6"/>
  <c r="O80" i="6" l="1"/>
  <c r="P79" i="6"/>
  <c r="O81" i="6" l="1"/>
  <c r="P80" i="6"/>
  <c r="O82" i="6" l="1"/>
  <c r="P81" i="6"/>
  <c r="O83" i="6" l="1"/>
  <c r="P82" i="6"/>
  <c r="O84" i="6" l="1"/>
  <c r="P83" i="6"/>
  <c r="O85" i="6" l="1"/>
  <c r="P84" i="6"/>
  <c r="O86" i="6" l="1"/>
  <c r="P85" i="6"/>
  <c r="O87" i="6" l="1"/>
  <c r="P86" i="6"/>
  <c r="O88" i="6" l="1"/>
  <c r="P87" i="6"/>
  <c r="O89" i="6" l="1"/>
  <c r="P88" i="6"/>
  <c r="O90" i="6" l="1"/>
  <c r="P89" i="6"/>
  <c r="O91" i="6" l="1"/>
  <c r="P90" i="6"/>
  <c r="O92" i="6" l="1"/>
  <c r="P91" i="6"/>
  <c r="O93" i="6" l="1"/>
  <c r="P92" i="6"/>
  <c r="O94" i="6" l="1"/>
  <c r="P93" i="6"/>
  <c r="O95" i="6" l="1"/>
  <c r="P94" i="6"/>
  <c r="O96" i="6" l="1"/>
  <c r="P95" i="6"/>
  <c r="O97" i="6" l="1"/>
  <c r="P96" i="6"/>
  <c r="O98" i="6" l="1"/>
  <c r="P97" i="6"/>
  <c r="O99" i="6" l="1"/>
  <c r="P98" i="6"/>
  <c r="O100" i="6" l="1"/>
  <c r="P99" i="6"/>
  <c r="O101" i="6" l="1"/>
  <c r="P100" i="6"/>
  <c r="O102" i="6" l="1"/>
  <c r="P101" i="6"/>
  <c r="O103" i="6" l="1"/>
  <c r="P102" i="6"/>
  <c r="O104" i="6" l="1"/>
  <c r="P104" i="6" s="1"/>
  <c r="I36" i="4" s="1"/>
  <c r="G36" i="4" s="1"/>
  <c r="AS32" i="1" s="1"/>
  <c r="P103" i="6"/>
  <c r="D36" i="11" l="1"/>
  <c r="P13" i="1"/>
  <c r="P12" i="1" l="1"/>
  <c r="G77" i="4"/>
  <c r="P14" i="1" l="1"/>
  <c r="BN107" i="4" s="1"/>
  <c r="G107" i="4" s="1"/>
  <c r="J7" i="11" s="1"/>
  <c r="G26" i="11"/>
  <c r="E54" i="12"/>
</calcChain>
</file>

<file path=xl/comments1.xml><?xml version="1.0" encoding="utf-8"?>
<comments xmlns="http://schemas.openxmlformats.org/spreadsheetml/2006/main">
  <authors>
    <author>Author</author>
  </authors>
  <commentList>
    <comment ref="R4" authorId="0">
      <text>
        <r>
          <rPr>
            <b/>
            <sz val="9"/>
            <color indexed="81"/>
            <rFont val="Tahoma"/>
            <family val="2"/>
          </rPr>
          <t>Author:</t>
        </r>
        <r>
          <rPr>
            <sz val="9"/>
            <color indexed="81"/>
            <rFont val="Tahoma"/>
            <family val="2"/>
          </rPr>
          <t xml:space="preserve">
If the character has any initiative mods from Talents, magic items, injuries or spells put total in this box</t>
        </r>
      </text>
    </comment>
    <comment ref="D5" authorId="0">
      <text>
        <r>
          <rPr>
            <b/>
            <sz val="9"/>
            <color indexed="81"/>
            <rFont val="Tahoma"/>
            <family val="2"/>
          </rPr>
          <t>Author:</t>
        </r>
        <r>
          <rPr>
            <sz val="9"/>
            <color indexed="81"/>
            <rFont val="Tahoma"/>
            <family val="2"/>
          </rPr>
          <t xml:space="preserve">
Put total XP into cell L60 to generate current level</t>
        </r>
      </text>
    </comment>
    <comment ref="P12" authorId="0">
      <text>
        <r>
          <rPr>
            <b/>
            <sz val="9"/>
            <color indexed="81"/>
            <rFont val="Tahoma"/>
            <family val="2"/>
          </rPr>
          <t>Author:</t>
        </r>
        <r>
          <rPr>
            <sz val="9"/>
            <color indexed="81"/>
            <rFont val="Tahoma"/>
            <family val="2"/>
          </rPr>
          <t xml:space="preserve">
Base Maneuver Modification based on weight carried and St</t>
        </r>
      </text>
    </comment>
    <comment ref="P14" authorId="0">
      <text>
        <r>
          <rPr>
            <b/>
            <sz val="9"/>
            <color indexed="81"/>
            <rFont val="Tahoma"/>
            <family val="2"/>
          </rPr>
          <t>Author:</t>
        </r>
        <r>
          <rPr>
            <sz val="9"/>
            <color indexed="81"/>
            <rFont val="Tahoma"/>
            <family val="2"/>
          </rPr>
          <t xml:space="preserve">
Includes armor penalties</t>
        </r>
      </text>
    </comment>
    <comment ref="T16" authorId="0">
      <text>
        <r>
          <rPr>
            <b/>
            <sz val="9"/>
            <color indexed="81"/>
            <rFont val="Tahoma"/>
            <family val="2"/>
          </rPr>
          <t>Author:</t>
        </r>
        <r>
          <rPr>
            <sz val="9"/>
            <color indexed="81"/>
            <rFont val="Tahoma"/>
            <family val="2"/>
          </rPr>
          <t xml:space="preserve">
These pull downs are intended to show the character's Training priorities.  #1 highest to #8 lowest (this impacts the skill costs for weapons on the "Skill" tab</t>
        </r>
      </text>
    </comment>
    <comment ref="O18" authorId="0">
      <text>
        <r>
          <rPr>
            <b/>
            <sz val="9"/>
            <color indexed="81"/>
            <rFont val="Tahoma"/>
            <family val="2"/>
          </rPr>
          <t>Author:</t>
        </r>
        <r>
          <rPr>
            <sz val="9"/>
            <color indexed="81"/>
            <rFont val="Tahoma"/>
            <family val="2"/>
          </rPr>
          <t xml:space="preserve">
This is for DB mods from Talents, magical items, or spells cast</t>
        </r>
      </text>
    </comment>
    <comment ref="U27" authorId="0">
      <text>
        <r>
          <rPr>
            <b/>
            <sz val="9"/>
            <color indexed="81"/>
            <rFont val="Tahoma"/>
            <family val="2"/>
          </rPr>
          <t>Author:</t>
        </r>
        <r>
          <rPr>
            <sz val="9"/>
            <color indexed="81"/>
            <rFont val="Tahoma"/>
            <family val="2"/>
          </rPr>
          <t xml:space="preserve">
Put the multiple of the highest attuned Multiplier to left (e.g. a x3 multiplier should have a 3 to left, a 1.5 multiplier should have a 1.5 in the cell, etc.)</t>
        </r>
      </text>
    </comment>
    <comment ref="U28" authorId="0">
      <text>
        <r>
          <rPr>
            <b/>
            <sz val="9"/>
            <color indexed="81"/>
            <rFont val="Tahoma"/>
            <family val="2"/>
          </rPr>
          <t>Author:</t>
        </r>
        <r>
          <rPr>
            <sz val="9"/>
            <color indexed="81"/>
            <rFont val="Tahoma"/>
            <family val="2"/>
          </rPr>
          <t xml:space="preserve">
The highest attuned Power Point Adder should be put into the cell to the left (+5 Adder would have a 5 in the box to left).  Do not put the Adder both in this box as well as in the Skills sheet under Power Development.  Pick one or the other</t>
        </r>
      </text>
    </comment>
    <comment ref="AG28" authorId="0">
      <text>
        <r>
          <rPr>
            <b/>
            <sz val="9"/>
            <color indexed="81"/>
            <rFont val="Tahoma"/>
            <charset val="1"/>
          </rPr>
          <t>Author:</t>
        </r>
        <r>
          <rPr>
            <sz val="9"/>
            <color indexed="81"/>
            <rFont val="Tahoma"/>
            <charset val="1"/>
          </rPr>
          <t xml:space="preserve">
Point blank is &lt;10'</t>
        </r>
      </text>
    </comment>
    <comment ref="B30" authorId="0">
      <text>
        <r>
          <rPr>
            <b/>
            <sz val="9"/>
            <color indexed="81"/>
            <rFont val="Tahoma"/>
            <charset val="1"/>
          </rPr>
          <t>Author:</t>
        </r>
        <r>
          <rPr>
            <sz val="9"/>
            <color indexed="81"/>
            <rFont val="Tahoma"/>
            <charset val="1"/>
          </rPr>
          <t xml:space="preserve">
Weapon names must match those in AL for the stats to show on the right</t>
        </r>
      </text>
    </comment>
    <comment ref="I30" authorId="0">
      <text>
        <r>
          <rPr>
            <b/>
            <sz val="9"/>
            <color indexed="81"/>
            <rFont val="Tahoma"/>
            <family val="2"/>
          </rPr>
          <t>Author:</t>
        </r>
        <r>
          <rPr>
            <sz val="9"/>
            <color indexed="81"/>
            <rFont val="Tahoma"/>
            <family val="2"/>
          </rPr>
          <t xml:space="preserve">
Percentage of item's total weight that is living organic material.</t>
        </r>
      </text>
    </comment>
    <comment ref="J30" authorId="0">
      <text>
        <r>
          <rPr>
            <b/>
            <sz val="9"/>
            <color indexed="81"/>
            <rFont val="Tahoma"/>
            <family val="2"/>
          </rPr>
          <t>Author:</t>
        </r>
        <r>
          <rPr>
            <sz val="9"/>
            <color indexed="81"/>
            <rFont val="Tahoma"/>
            <family val="2"/>
          </rPr>
          <t xml:space="preserve">
Percentage of item's total weight that is organic non-living.</t>
        </r>
      </text>
    </comment>
    <comment ref="B57" authorId="0">
      <text>
        <r>
          <rPr>
            <b/>
            <sz val="9"/>
            <color indexed="81"/>
            <rFont val="Tahoma"/>
            <family val="2"/>
          </rPr>
          <t>Author:</t>
        </r>
        <r>
          <rPr>
            <sz val="9"/>
            <color indexed="81"/>
            <rFont val="Tahoma"/>
            <family val="2"/>
          </rPr>
          <t xml:space="preserve">
Total weight of all equipment carried</t>
        </r>
      </text>
    </comment>
    <comment ref="I57" authorId="0">
      <text>
        <r>
          <rPr>
            <b/>
            <sz val="9"/>
            <color indexed="81"/>
            <rFont val="Tahoma"/>
            <family val="2"/>
          </rPr>
          <t>Author:</t>
        </r>
        <r>
          <rPr>
            <sz val="9"/>
            <color indexed="81"/>
            <rFont val="Tahoma"/>
            <family val="2"/>
          </rPr>
          <t xml:space="preserve">
Total weight of organic living material carried by the character</t>
        </r>
      </text>
    </comment>
    <comment ref="L57" authorId="0">
      <text>
        <r>
          <rPr>
            <b/>
            <sz val="9"/>
            <color indexed="81"/>
            <rFont val="Tahoma"/>
            <family val="2"/>
          </rPr>
          <t>Author:</t>
        </r>
        <r>
          <rPr>
            <sz val="9"/>
            <color indexed="81"/>
            <rFont val="Tahoma"/>
            <family val="2"/>
          </rPr>
          <t xml:space="preserve">
Total weight of organic non-living material carried by character</t>
        </r>
      </text>
    </comment>
    <comment ref="M57" authorId="0">
      <text>
        <r>
          <rPr>
            <b/>
            <sz val="9"/>
            <color indexed="81"/>
            <rFont val="Tahoma"/>
            <family val="2"/>
          </rPr>
          <t>Author:</t>
        </r>
        <r>
          <rPr>
            <sz val="9"/>
            <color indexed="81"/>
            <rFont val="Tahoma"/>
            <family val="2"/>
          </rPr>
          <t xml:space="preserve">
Total weight of all inorganic weight carried by the character</t>
        </r>
      </text>
    </comment>
    <comment ref="D59" authorId="0">
      <text>
        <r>
          <rPr>
            <b/>
            <sz val="9"/>
            <color indexed="81"/>
            <rFont val="Tahoma"/>
            <family val="2"/>
          </rPr>
          <t>Author:</t>
        </r>
        <r>
          <rPr>
            <sz val="9"/>
            <color indexed="81"/>
            <rFont val="Tahoma"/>
            <family val="2"/>
          </rPr>
          <t xml:space="preserve">
In silver pieces</t>
        </r>
      </text>
    </comment>
    <comment ref="L60" authorId="0">
      <text>
        <r>
          <rPr>
            <b/>
            <sz val="9"/>
            <color indexed="81"/>
            <rFont val="Tahoma"/>
            <family val="2"/>
          </rPr>
          <t>Author:</t>
        </r>
        <r>
          <rPr>
            <sz val="9"/>
            <color indexed="81"/>
            <rFont val="Tahoma"/>
            <family val="2"/>
          </rPr>
          <t xml:space="preserve">
Put current XP total here</t>
        </r>
      </text>
    </comment>
    <comment ref="J61" authorId="0">
      <text>
        <r>
          <rPr>
            <b/>
            <sz val="9"/>
            <color indexed="81"/>
            <rFont val="Tahoma"/>
            <family val="2"/>
          </rPr>
          <t>Author:</t>
        </r>
        <r>
          <rPr>
            <sz val="9"/>
            <color indexed="81"/>
            <rFont val="Tahoma"/>
            <family val="2"/>
          </rPr>
          <t xml:space="preserve">
in silver pieces</t>
        </r>
      </text>
    </comment>
    <comment ref="M64" authorId="0">
      <text>
        <r>
          <rPr>
            <b/>
            <sz val="9"/>
            <color indexed="81"/>
            <rFont val="Tahoma"/>
            <family val="2"/>
          </rPr>
          <t>Author:</t>
        </r>
        <r>
          <rPr>
            <sz val="9"/>
            <color indexed="81"/>
            <rFont val="Tahoma"/>
            <family val="2"/>
          </rPr>
          <t xml:space="preserve">
The box will turn green if armor weight has been factored correctly (&lt;0 lbs)</t>
        </r>
      </text>
    </comment>
  </commentList>
</comments>
</file>

<file path=xl/comments2.xml><?xml version="1.0" encoding="utf-8"?>
<comments xmlns="http://schemas.openxmlformats.org/spreadsheetml/2006/main">
  <authors>
    <author>Author</author>
  </authors>
  <commentList>
    <comment ref="N2" authorId="0">
      <text>
        <r>
          <rPr>
            <b/>
            <sz val="9"/>
            <color indexed="81"/>
            <rFont val="Tahoma"/>
            <family val="2"/>
          </rPr>
          <t>Author:</t>
        </r>
        <r>
          <rPr>
            <sz val="9"/>
            <color indexed="81"/>
            <rFont val="Tahoma"/>
            <family val="2"/>
          </rPr>
          <t xml:space="preserve">
This is total of the DPs spent on Skills and Talents at this level</t>
        </r>
      </text>
    </comment>
    <comment ref="C36" authorId="0">
      <text>
        <r>
          <rPr>
            <b/>
            <sz val="9"/>
            <color indexed="81"/>
            <rFont val="Tahoma"/>
            <family val="2"/>
          </rPr>
          <t>Author:</t>
        </r>
        <r>
          <rPr>
            <sz val="9"/>
            <color indexed="81"/>
            <rFont val="Tahoma"/>
            <family val="2"/>
          </rPr>
          <t xml:space="preserve">
This number indicates the priority for training that was selected in the "Character" tab</t>
        </r>
      </text>
    </comment>
    <comment ref="BN36" authorId="0">
      <text>
        <r>
          <rPr>
            <b/>
            <sz val="9"/>
            <color indexed="81"/>
            <rFont val="Tahoma"/>
            <family val="2"/>
          </rPr>
          <t>Author:</t>
        </r>
        <r>
          <rPr>
            <sz val="9"/>
            <color indexed="81"/>
            <rFont val="Tahoma"/>
            <family val="2"/>
          </rPr>
          <t xml:space="preserve">
This mod should only populate Missile and Thrown weapons because of the Missile penalties associated with Arm armor</t>
        </r>
      </text>
    </comment>
    <comment ref="BN66" authorId="0">
      <text>
        <r>
          <rPr>
            <b/>
            <sz val="9"/>
            <color indexed="81"/>
            <rFont val="Tahoma"/>
            <family val="2"/>
          </rPr>
          <t>Author:</t>
        </r>
        <r>
          <rPr>
            <sz val="9"/>
            <color indexed="81"/>
            <rFont val="Tahoma"/>
            <family val="2"/>
          </rPr>
          <t xml:space="preserve">
This penalty is from wearing a helmet</t>
        </r>
      </text>
    </comment>
    <comment ref="BN107" authorId="0">
      <text>
        <r>
          <rPr>
            <b/>
            <sz val="9"/>
            <color indexed="81"/>
            <rFont val="Tahoma"/>
            <family val="2"/>
          </rPr>
          <t>Author:</t>
        </r>
        <r>
          <rPr>
            <sz val="9"/>
            <color indexed="81"/>
            <rFont val="Tahoma"/>
            <family val="2"/>
          </rPr>
          <t xml:space="preserve">
This penalty is from the character's total encumbrance after Maneuver in Armor skill is factored in</t>
        </r>
      </text>
    </comment>
  </commentList>
</comments>
</file>

<file path=xl/comments3.xml><?xml version="1.0" encoding="utf-8"?>
<comments xmlns="http://schemas.openxmlformats.org/spreadsheetml/2006/main">
  <authors>
    <author>Author</author>
  </authors>
  <commentList>
    <comment ref="AL46" authorId="0">
      <text>
        <r>
          <rPr>
            <b/>
            <sz val="9"/>
            <color indexed="81"/>
            <rFont val="Tahoma"/>
            <charset val="1"/>
          </rPr>
          <t>Author:</t>
        </r>
        <r>
          <rPr>
            <sz val="9"/>
            <color indexed="81"/>
            <rFont val="Tahoma"/>
            <charset val="1"/>
          </rPr>
          <t xml:space="preserve">
Point blank is &lt;10'</t>
        </r>
      </text>
    </comment>
  </commentList>
</comments>
</file>

<file path=xl/sharedStrings.xml><?xml version="1.0" encoding="utf-8"?>
<sst xmlns="http://schemas.openxmlformats.org/spreadsheetml/2006/main" count="3339" uniqueCount="920">
  <si>
    <t>Player:</t>
  </si>
  <si>
    <t>Name:</t>
  </si>
  <si>
    <t>Level:</t>
  </si>
  <si>
    <t>Race:</t>
  </si>
  <si>
    <t>Profession:</t>
  </si>
  <si>
    <t>Culture:</t>
  </si>
  <si>
    <t>Statistics</t>
  </si>
  <si>
    <t>Temp</t>
  </si>
  <si>
    <t>Potential</t>
  </si>
  <si>
    <t>Bonus</t>
  </si>
  <si>
    <t>Racial</t>
  </si>
  <si>
    <t>Special</t>
  </si>
  <si>
    <t>Total</t>
  </si>
  <si>
    <t>Resistance Rolls</t>
  </si>
  <si>
    <t>Character</t>
  </si>
  <si>
    <t>Strength</t>
  </si>
  <si>
    <t>Quickness</t>
  </si>
  <si>
    <t>Presence</t>
  </si>
  <si>
    <t>Intuition</t>
  </si>
  <si>
    <t>Empathy</t>
  </si>
  <si>
    <t>Constitution</t>
  </si>
  <si>
    <t>Agility</t>
  </si>
  <si>
    <t>Sex:</t>
  </si>
  <si>
    <t>Memory</t>
  </si>
  <si>
    <t>Age:</t>
  </si>
  <si>
    <t>Reasoning</t>
  </si>
  <si>
    <t>Appearance</t>
  </si>
  <si>
    <t>Movement</t>
  </si>
  <si>
    <t>Height:</t>
  </si>
  <si>
    <t>Weight:</t>
  </si>
  <si>
    <t>Shield:</t>
  </si>
  <si>
    <t>Hair:</t>
  </si>
  <si>
    <t>Eyes:</t>
  </si>
  <si>
    <t>Initiative</t>
  </si>
  <si>
    <t>Skin:</t>
  </si>
  <si>
    <t>Build:</t>
  </si>
  <si>
    <t>Mentalist</t>
  </si>
  <si>
    <t>Channeling</t>
  </si>
  <si>
    <t>Essence</t>
  </si>
  <si>
    <t>Mentalism</t>
  </si>
  <si>
    <t>Poison</t>
  </si>
  <si>
    <t>Disease</t>
  </si>
  <si>
    <t>Fear</t>
  </si>
  <si>
    <t>Co/Co/SD</t>
  </si>
  <si>
    <t>SD/SD/Re</t>
  </si>
  <si>
    <t>In/In/SD</t>
  </si>
  <si>
    <t>Em/Em/SD</t>
  </si>
  <si>
    <t>Pr/Pr/SD</t>
  </si>
  <si>
    <t>Fatigue:</t>
  </si>
  <si>
    <t>Base Move:</t>
  </si>
  <si>
    <t>Armor Type:</t>
  </si>
  <si>
    <t>Talents</t>
  </si>
  <si>
    <t>Weight (%):</t>
  </si>
  <si>
    <t>Combat</t>
  </si>
  <si>
    <t>Subskill</t>
  </si>
  <si>
    <t>Stats</t>
  </si>
  <si>
    <t>Rank</t>
  </si>
  <si>
    <t>Stat</t>
  </si>
  <si>
    <t>Profession</t>
  </si>
  <si>
    <t>DP Cost</t>
  </si>
  <si>
    <t>Skill</t>
  </si>
  <si>
    <t>Ranks</t>
  </si>
  <si>
    <t>Academic</t>
  </si>
  <si>
    <t>Athletic</t>
  </si>
  <si>
    <t>Magical</t>
  </si>
  <si>
    <t>Outdoor</t>
  </si>
  <si>
    <t>Social</t>
  </si>
  <si>
    <t>Trades &amp; Crafts</t>
  </si>
  <si>
    <t>Linguistics</t>
  </si>
  <si>
    <t>Lore</t>
  </si>
  <si>
    <t>Science</t>
  </si>
  <si>
    <t>Body Development*</t>
  </si>
  <si>
    <t>Gymnastic</t>
  </si>
  <si>
    <t>Combat Expertise</t>
  </si>
  <si>
    <t>Shield*</t>
  </si>
  <si>
    <t>Combat Training 1</t>
  </si>
  <si>
    <t>Combat Training 2</t>
  </si>
  <si>
    <t>Combat Training 3</t>
  </si>
  <si>
    <t>Combat Training 4</t>
  </si>
  <si>
    <t>Combat Training 5</t>
  </si>
  <si>
    <t>Body Discipline</t>
  </si>
  <si>
    <t>Mental Discipline</t>
  </si>
  <si>
    <t>Delving</t>
  </si>
  <si>
    <t>Magical Expertise</t>
  </si>
  <si>
    <t>Power Manipulation</t>
  </si>
  <si>
    <t>Animal Handling</t>
  </si>
  <si>
    <t>Riding</t>
  </si>
  <si>
    <t>Driving/Pilot</t>
  </si>
  <si>
    <t>Survival</t>
  </si>
  <si>
    <t>Navigation</t>
  </si>
  <si>
    <t>Perception*</t>
  </si>
  <si>
    <t>Tracking*</t>
  </si>
  <si>
    <t>Influence</t>
  </si>
  <si>
    <t>Leadership*</t>
  </si>
  <si>
    <t>Social Awareness*</t>
  </si>
  <si>
    <t>Magic Ritual</t>
  </si>
  <si>
    <t>Power Development*</t>
  </si>
  <si>
    <t>Base/Open</t>
  </si>
  <si>
    <t>Closed Spells</t>
  </si>
  <si>
    <t>Arcane Spells</t>
  </si>
  <si>
    <t>Restricted Spells</t>
  </si>
  <si>
    <t>Ambush</t>
  </si>
  <si>
    <t>Stalk/Hide*</t>
  </si>
  <si>
    <t>Trickery</t>
  </si>
  <si>
    <t>Composition</t>
  </si>
  <si>
    <t>Crafting</t>
  </si>
  <si>
    <t>Mechanical</t>
  </si>
  <si>
    <t>Medical</t>
  </si>
  <si>
    <t>Performance Art</t>
  </si>
  <si>
    <t>Vocation</t>
  </si>
  <si>
    <t>Subterfuge</t>
  </si>
  <si>
    <t>Spellcasting</t>
  </si>
  <si>
    <t>Perception</t>
  </si>
  <si>
    <t>Discipline</t>
  </si>
  <si>
    <t>Culture</t>
  </si>
  <si>
    <t>No Profession</t>
  </si>
  <si>
    <t>Fighter</t>
  </si>
  <si>
    <t>Warrior Monk</t>
  </si>
  <si>
    <t>Thief</t>
  </si>
  <si>
    <t>Rogue</t>
  </si>
  <si>
    <t>Laborer</t>
  </si>
  <si>
    <t>Scholar</t>
  </si>
  <si>
    <t>Ranger</t>
  </si>
  <si>
    <t>Paladin</t>
  </si>
  <si>
    <t>Monk</t>
  </si>
  <si>
    <t>Magent</t>
  </si>
  <si>
    <t>Bard</t>
  </si>
  <si>
    <t>Dabbler</t>
  </si>
  <si>
    <t>Cleric</t>
  </si>
  <si>
    <t>Druid</t>
  </si>
  <si>
    <t>Magician</t>
  </si>
  <si>
    <t>Illusionist</t>
  </si>
  <si>
    <t>Lay Healer</t>
  </si>
  <si>
    <t>Healer</t>
  </si>
  <si>
    <t>Mystic</t>
  </si>
  <si>
    <t>Sorcerer</t>
  </si>
  <si>
    <t>Me/Me/Re</t>
  </si>
  <si>
    <t>2/4</t>
  </si>
  <si>
    <t>3/5</t>
  </si>
  <si>
    <t>3/4</t>
  </si>
  <si>
    <t>1/2</t>
  </si>
  <si>
    <t>1/3</t>
  </si>
  <si>
    <t>2/3</t>
  </si>
  <si>
    <t>Me/Re/Re</t>
  </si>
  <si>
    <t>5/7</t>
  </si>
  <si>
    <t>4/6</t>
  </si>
  <si>
    <t>6/8</t>
  </si>
  <si>
    <t>9/12</t>
  </si>
  <si>
    <t>Ag/Qu/St</t>
  </si>
  <si>
    <t>-</t>
  </si>
  <si>
    <t>Ag/St/St</t>
  </si>
  <si>
    <t>varies</t>
  </si>
  <si>
    <t>12/15</t>
  </si>
  <si>
    <t>16/20</t>
  </si>
  <si>
    <t>20/24</t>
  </si>
  <si>
    <t>Co/SD/SD</t>
  </si>
  <si>
    <t>SD/SD/Pr</t>
  </si>
  <si>
    <t>Em/In/Pr</t>
  </si>
  <si>
    <t>Re/Em/Pr</t>
  </si>
  <si>
    <t>Ag/Em/Pr</t>
  </si>
  <si>
    <t>Ag/SD/Qu</t>
  </si>
  <si>
    <t>Re/Me/In</t>
  </si>
  <si>
    <t>Me/Re/In</t>
  </si>
  <si>
    <t>Re/SD/In</t>
  </si>
  <si>
    <t>Re/In/Em</t>
  </si>
  <si>
    <t>Em/Pr/Pr</t>
  </si>
  <si>
    <t>Em/Re/In</t>
  </si>
  <si>
    <t>Em/Pr/In</t>
  </si>
  <si>
    <t>Ag/SD/In</t>
  </si>
  <si>
    <t>Ag/In/Pr</t>
  </si>
  <si>
    <t>Ag/SD/Me</t>
  </si>
  <si>
    <t>Ag/Re/In</t>
  </si>
  <si>
    <t>Me/Em/Pr</t>
  </si>
  <si>
    <t>Em/Me/Re</t>
  </si>
  <si>
    <t>Original Skill Name</t>
  </si>
  <si>
    <t>Own Region</t>
  </si>
  <si>
    <t>DPs Spent:</t>
  </si>
  <si>
    <t>Cost1</t>
  </si>
  <si>
    <t>Cost2</t>
  </si>
  <si>
    <t>Bonuses</t>
  </si>
  <si>
    <t>Self Discipline</t>
  </si>
  <si>
    <t>Stat Bonuses</t>
  </si>
  <si>
    <t>DB:</t>
  </si>
  <si>
    <t>Equipment</t>
  </si>
  <si>
    <t>Ag</t>
  </si>
  <si>
    <t>Co</t>
  </si>
  <si>
    <t>Em</t>
  </si>
  <si>
    <t>In</t>
  </si>
  <si>
    <t>Me</t>
  </si>
  <si>
    <t>Pr</t>
  </si>
  <si>
    <t>Qu</t>
  </si>
  <si>
    <t>Re</t>
  </si>
  <si>
    <t>SD</t>
  </si>
  <si>
    <t>St</t>
  </si>
  <si>
    <t>Realm Stats</t>
  </si>
  <si>
    <t>Realm</t>
  </si>
  <si>
    <t>Chan/Ess</t>
  </si>
  <si>
    <t>Chan/Ment</t>
  </si>
  <si>
    <t>Ess/Ment</t>
  </si>
  <si>
    <t>Chan/Ess/Ment</t>
  </si>
  <si>
    <t>Melee</t>
  </si>
  <si>
    <t>Missile</t>
  </si>
  <si>
    <t>Thrown</t>
  </si>
  <si>
    <t>Unarmed</t>
  </si>
  <si>
    <t>Directed Spell</t>
  </si>
  <si>
    <t>Siege Weapon</t>
  </si>
  <si>
    <t>Firearm</t>
  </si>
  <si>
    <t>Energy Weapon</t>
  </si>
  <si>
    <t>Combat Training Stats</t>
  </si>
  <si>
    <t>Ag/Ag/St</t>
  </si>
  <si>
    <t>Ag/St/SD</t>
  </si>
  <si>
    <t>Ag/Ag/SD</t>
  </si>
  <si>
    <t>Prof Skill</t>
  </si>
  <si>
    <t>Rank Bonus</t>
  </si>
  <si>
    <t>Race</t>
  </si>
  <si>
    <t>Self Disc.</t>
  </si>
  <si>
    <t>Size</t>
  </si>
  <si>
    <t>Fatigue</t>
  </si>
  <si>
    <t>Base Hits</t>
  </si>
  <si>
    <t>Recovery Mult</t>
  </si>
  <si>
    <t>Lifespan</t>
  </si>
  <si>
    <t>Bonus DP</t>
  </si>
  <si>
    <t>Dwarf</t>
  </si>
  <si>
    <t>M</t>
  </si>
  <si>
    <t>1/2x</t>
  </si>
  <si>
    <t>Elf</t>
  </si>
  <si>
    <t>2x</t>
  </si>
  <si>
    <t>im.</t>
  </si>
  <si>
    <t>Goblin</t>
  </si>
  <si>
    <t>-2</t>
  </si>
  <si>
    <t>S</t>
  </si>
  <si>
    <t>Halfling</t>
  </si>
  <si>
    <t>1x</t>
  </si>
  <si>
    <t>Human</t>
  </si>
  <si>
    <t>Orc</t>
  </si>
  <si>
    <t>Troll</t>
  </si>
  <si>
    <t>L</t>
  </si>
  <si>
    <t>Stride</t>
  </si>
  <si>
    <t>Races</t>
  </si>
  <si>
    <t>Encumbrance</t>
  </si>
  <si>
    <t>Defense</t>
  </si>
  <si>
    <t>Total Points</t>
  </si>
  <si>
    <t>Point Diff</t>
  </si>
  <si>
    <t>Pot.</t>
  </si>
  <si>
    <t>Pts</t>
  </si>
  <si>
    <t>Instructions</t>
  </si>
  <si>
    <t>Only enter data into grey cells, the white cells are all calculations.</t>
  </si>
  <si>
    <t>Character Generation</t>
  </si>
  <si>
    <t>Custom</t>
  </si>
  <si>
    <t>Mathematics</t>
  </si>
  <si>
    <t>Acrobatics</t>
  </si>
  <si>
    <t>Jumping</t>
  </si>
  <si>
    <t>Climbing</t>
  </si>
  <si>
    <t>Running</t>
  </si>
  <si>
    <t>Swimming</t>
  </si>
  <si>
    <t>Combat Training Categories</t>
  </si>
  <si>
    <t xml:space="preserve"> </t>
  </si>
  <si>
    <t>Man. in Armor</t>
  </si>
  <si>
    <t>Adrenal Focus</t>
  </si>
  <si>
    <t>Mind/Matter</t>
  </si>
  <si>
    <t>Meditation</t>
  </si>
  <si>
    <t>Attunement</t>
  </si>
  <si>
    <t>Runes</t>
  </si>
  <si>
    <t>Grace</t>
  </si>
  <si>
    <t>Spell Trickery</t>
  </si>
  <si>
    <t>Transcendence</t>
  </si>
  <si>
    <t>Power Manip.</t>
  </si>
  <si>
    <t>Charm</t>
  </si>
  <si>
    <t>Trading</t>
  </si>
  <si>
    <t>Diagnostics</t>
  </si>
  <si>
    <t>First Aid</t>
  </si>
  <si>
    <t>Herbalism</t>
  </si>
  <si>
    <t>Locks</t>
  </si>
  <si>
    <t>Traps</t>
  </si>
  <si>
    <t>Base</t>
  </si>
  <si>
    <t>Open</t>
  </si>
  <si>
    <t>15</t>
  </si>
  <si>
    <t>10</t>
  </si>
  <si>
    <t>20</t>
  </si>
  <si>
    <t>RS</t>
  </si>
  <si>
    <t>RS/RS/Me</t>
  </si>
  <si>
    <t>RS/RS/Co</t>
  </si>
  <si>
    <t>Current XP</t>
  </si>
  <si>
    <t>XP for next level</t>
  </si>
  <si>
    <t>Silver</t>
  </si>
  <si>
    <t>Tin</t>
  </si>
  <si>
    <t>Platinum</t>
  </si>
  <si>
    <t>Bronze</t>
  </si>
  <si>
    <t>Iron</t>
  </si>
  <si>
    <t>Gold</t>
  </si>
  <si>
    <t>Copper</t>
  </si>
  <si>
    <t>Gems</t>
  </si>
  <si>
    <t>Other</t>
  </si>
  <si>
    <t>Notes</t>
  </si>
  <si>
    <t>Spell List</t>
  </si>
  <si>
    <t>SM</t>
  </si>
  <si>
    <t>SCR</t>
  </si>
  <si>
    <t>Caster Level - Spell Level</t>
  </si>
  <si>
    <t>Instant Spell</t>
  </si>
  <si>
    <t>Rounds of Preparation</t>
  </si>
  <si>
    <t>3 - 4</t>
  </si>
  <si>
    <t xml:space="preserve">Essence </t>
  </si>
  <si>
    <t>Elemental</t>
  </si>
  <si>
    <t xml:space="preserve">Force </t>
  </si>
  <si>
    <t xml:space="preserve">Informational </t>
  </si>
  <si>
    <t xml:space="preserve">Utility </t>
  </si>
  <si>
    <t>Use of Hands</t>
  </si>
  <si>
    <t xml:space="preserve">None </t>
  </si>
  <si>
    <t>One</t>
  </si>
  <si>
    <t>Two</t>
  </si>
  <si>
    <t>Use of Voice</t>
  </si>
  <si>
    <t xml:space="preserve">Whisper </t>
  </si>
  <si>
    <t>Normal</t>
  </si>
  <si>
    <t>Shout</t>
  </si>
  <si>
    <t>Helmet</t>
  </si>
  <si>
    <t>Light</t>
  </si>
  <si>
    <t xml:space="preserve">Medium </t>
  </si>
  <si>
    <t xml:space="preserve">Heavy </t>
  </si>
  <si>
    <t>Carried Equipment</t>
  </si>
  <si>
    <t>Organic material, living</t>
  </si>
  <si>
    <t>-1/5lbs over 50</t>
  </si>
  <si>
    <t>Organic material, non-living</t>
  </si>
  <si>
    <t>-2/lb over 10</t>
  </si>
  <si>
    <t>Inorganic material</t>
  </si>
  <si>
    <t>-3/lb over 5</t>
  </si>
  <si>
    <t>Magic Rituals</t>
  </si>
  <si>
    <t>Closed</t>
  </si>
  <si>
    <t>Restricted</t>
  </si>
  <si>
    <t>Subtlety</t>
  </si>
  <si>
    <t>0 prep</t>
  </si>
  <si>
    <t>1 prep</t>
  </si>
  <si>
    <t>2 prep</t>
  </si>
  <si>
    <t>3 - 4 prep</t>
  </si>
  <si>
    <t>5 prep</t>
  </si>
  <si>
    <t>Instant</t>
  </si>
  <si>
    <t>Level of Caster minus Spell Level</t>
  </si>
  <si>
    <t>6+</t>
  </si>
  <si>
    <t>-6 /-7</t>
  </si>
  <si>
    <t>-8 or less</t>
  </si>
  <si>
    <t>Spell Preparation</t>
  </si>
  <si>
    <t>Grace skill bonus included in modifiers given</t>
  </si>
  <si>
    <t>Credits</t>
  </si>
  <si>
    <t>Sheet originally made by Matt Hanson</t>
  </si>
  <si>
    <t>Thanks to Mark "gitface" for the skill summary and spell casting summary pages</t>
  </si>
  <si>
    <t>Thanks to Steve G "steve_990" for cool automation with macros and cultures</t>
  </si>
  <si>
    <t>Weight</t>
  </si>
  <si>
    <t>%OL</t>
  </si>
  <si>
    <t>W OL</t>
  </si>
  <si>
    <t>W ON</t>
  </si>
  <si>
    <t>W IO</t>
  </si>
  <si>
    <t>%ON</t>
  </si>
  <si>
    <t>Very Light</t>
  </si>
  <si>
    <t>Medium</t>
  </si>
  <si>
    <t>Heavy</t>
  </si>
  <si>
    <t>Armor</t>
  </si>
  <si>
    <t>Helm</t>
  </si>
  <si>
    <t>Torso</t>
  </si>
  <si>
    <t>None</t>
  </si>
  <si>
    <t>Heavy Cloth</t>
  </si>
  <si>
    <t>Soft Leather</t>
  </si>
  <si>
    <t>Hide Scale</t>
  </si>
  <si>
    <t>Laminar</t>
  </si>
  <si>
    <t>Rigid Leather</t>
  </si>
  <si>
    <t>Metal Scale</t>
  </si>
  <si>
    <t>Mail</t>
  </si>
  <si>
    <t>Brigandine</t>
  </si>
  <si>
    <t>Plate</t>
  </si>
  <si>
    <t>Perception Penalty</t>
  </si>
  <si>
    <t>Maneuver Penalty</t>
  </si>
  <si>
    <t>Missile Penalty</t>
  </si>
  <si>
    <t xml:space="preserve">Equipment </t>
  </si>
  <si>
    <t>Arms</t>
  </si>
  <si>
    <t>Legs</t>
  </si>
  <si>
    <t>Target</t>
  </si>
  <si>
    <t>Full</t>
  </si>
  <si>
    <t>Wall</t>
  </si>
  <si>
    <t>AT</t>
  </si>
  <si>
    <t>Type of Shield</t>
  </si>
  <si>
    <t>Shield Bonus</t>
  </si>
  <si>
    <t>Torso Man Pen</t>
  </si>
  <si>
    <t>Arm Man Pen</t>
  </si>
  <si>
    <t>Leg Man Pen</t>
  </si>
  <si>
    <t>Head Man Pen</t>
  </si>
  <si>
    <t>Total # of Coins</t>
  </si>
  <si>
    <t>Piecemeal Armor</t>
  </si>
  <si>
    <t>Missile Pen</t>
  </si>
  <si>
    <t>Character's Realm(s):</t>
  </si>
  <si>
    <t>Cultures</t>
  </si>
  <si>
    <t>Cosmopolitan</t>
  </si>
  <si>
    <t>Harsh</t>
  </si>
  <si>
    <t>Highland</t>
  </si>
  <si>
    <t>Mariner</t>
  </si>
  <si>
    <t>Reaver</t>
  </si>
  <si>
    <t>Rural</t>
  </si>
  <si>
    <t>Sylvan</t>
  </si>
  <si>
    <t>Underground</t>
  </si>
  <si>
    <t>Urban</t>
  </si>
  <si>
    <t>Lore: Own Region</t>
  </si>
  <si>
    <t>Science: Mathematics</t>
  </si>
  <si>
    <t>Body Development</t>
  </si>
  <si>
    <t>Movement: Running</t>
  </si>
  <si>
    <t>Unarmed Combat</t>
  </si>
  <si>
    <t>Survival: Own Region</t>
  </si>
  <si>
    <t>Navigation: Terrestial</t>
  </si>
  <si>
    <t>Tracking</t>
  </si>
  <si>
    <t>Social Awareness</t>
  </si>
  <si>
    <t>Stalk/Hide</t>
  </si>
  <si>
    <t>Mechanical: Choice</t>
  </si>
  <si>
    <t>Medical: First Aid</t>
  </si>
  <si>
    <t>Character's Culture:</t>
  </si>
  <si>
    <t>Yes</t>
  </si>
  <si>
    <t>No</t>
  </si>
  <si>
    <t>Thanks to Charles "mistrornge" Morris for equipment block and various other updates</t>
  </si>
  <si>
    <t>GM created #1</t>
  </si>
  <si>
    <t>GM created #2</t>
  </si>
  <si>
    <t>Please input name of GM created culture #1</t>
  </si>
  <si>
    <t>Please input name of GM created culture #2</t>
  </si>
  <si>
    <t>x</t>
  </si>
  <si>
    <t>Ag/Co/St</t>
  </si>
  <si>
    <t>Total spellcasting modifications for equipment</t>
  </si>
  <si>
    <t>Base Man. Mod:</t>
  </si>
  <si>
    <t>Currently Used?</t>
  </si>
  <si>
    <t>Cost/Tier</t>
  </si>
  <si>
    <t>Max Tiers</t>
  </si>
  <si>
    <t>Effect</t>
  </si>
  <si>
    <t>Racial Talents</t>
  </si>
  <si>
    <t>Birth</t>
  </si>
  <si>
    <t>Dense (Swimming -25), Darkvision, Nightvision.</t>
  </si>
  <si>
    <t>+5 Perception/Tier</t>
  </si>
  <si>
    <t>Immune to disease, Meditational sleep, Nightvision.</t>
  </si>
  <si>
    <t>Mechanical Aptitude (+25 to Mechanics), Nightvision, Darkvision, Small Sized, Light-sensitive III (-75).</t>
  </si>
  <si>
    <t>Nightvision, Darkvision.</t>
  </si>
  <si>
    <t>Ambidextrous</t>
  </si>
  <si>
    <t>Cold Resistance, Heat Resistance, Natural Armor (AT 6), Bite, Claws, Nightvision, Darkvision, Large Sized, Light-sensitive III (-75)</t>
  </si>
  <si>
    <t>Extra Sense Tier 1</t>
  </si>
  <si>
    <t>Extra Sense Tier 2</t>
  </si>
  <si>
    <t>Sense things in contact with body (i.e., like feel/touch).</t>
  </si>
  <si>
    <t>Extra Sense Tier 3</t>
  </si>
  <si>
    <t>General sense of direction and intensity (i.e., like smell). Can attack otherwise unseen targets at -50.</t>
  </si>
  <si>
    <t>Extra Sense Tier 4</t>
  </si>
  <si>
    <t>Direction, intensity, and distance, weak on specific details (like Hearing) attack otherwise unseen targets at -25.</t>
  </si>
  <si>
    <t>Extra Sense Tier 5</t>
  </si>
  <si>
    <t>Can sense in specific detail (i.e., like Sight), can target attacks normally using just this sense.</t>
  </si>
  <si>
    <t>Golden Throat</t>
  </si>
  <si>
    <t>Intense Eyes</t>
  </si>
  <si>
    <t>Look of Eagles</t>
  </si>
  <si>
    <t>Bonus to all Leadership maneuvers and followers’ fear checks. +10 / Tier (+20 max).</t>
  </si>
  <si>
    <t>Neutral Odor</t>
  </si>
  <si>
    <t>Very weak odor. Attempts to perceive his presence based upon the sense of smell operate at -50.</t>
  </si>
  <si>
    <t>Perfect Pitch</t>
  </si>
  <si>
    <t>Slow Bleeder</t>
  </si>
  <si>
    <t>Distinct Odor</t>
  </si>
  <si>
    <t>Disturbing Voice</t>
  </si>
  <si>
    <t>Rapid Bleeder</t>
  </si>
  <si>
    <t>Missing Sense Tier 1</t>
  </si>
  <si>
    <t>Taste, or a similar sense.</t>
  </si>
  <si>
    <t>Missing Sense Tier 2</t>
  </si>
  <si>
    <t>Feel/touch, or a similar sense. immune to pain penalties. See description for exact details.</t>
  </si>
  <si>
    <t>Missing Sense Tier 3</t>
  </si>
  <si>
    <t>Missing Sense Tier 4</t>
  </si>
  <si>
    <t>Hearing, or a similar sense.</t>
  </si>
  <si>
    <t>Missing Sense Tier 5</t>
  </si>
  <si>
    <t>Sight, or a similar sense.</t>
  </si>
  <si>
    <t>Poor Senses: Hearing</t>
  </si>
  <si>
    <t>Poor Senses: Smell</t>
  </si>
  <si>
    <t>Poor Senses: Taste</t>
  </si>
  <si>
    <t>Poor Senses: Touch</t>
  </si>
  <si>
    <t>Shifty Eyes</t>
  </si>
  <si>
    <t>Look of Weasels</t>
  </si>
  <si>
    <t>Penalty to all Leadership maneuvers and followers’ fear checks. -10 / Tier (-20 max).</t>
  </si>
  <si>
    <t>Tone Deaf</t>
  </si>
  <si>
    <t>Adrenal Defense Tier 1</t>
  </si>
  <si>
    <t>Adrenal Defense Tier 2</t>
  </si>
  <si>
    <t>Adrenal Defense Tier 3</t>
  </si>
  <si>
    <t>Aggressive Tier 1</t>
  </si>
  <si>
    <t>Aggressive Tier 2</t>
  </si>
  <si>
    <t>Deadeye</t>
  </si>
  <si>
    <t>Character has uncanny aim with projectile weapons. + 10% Range / Tier</t>
  </si>
  <si>
    <t>Great Arm</t>
  </si>
  <si>
    <t>Character has deadly accuracy with thrown weapons. + 10% Range / Tier</t>
  </si>
  <si>
    <t>Enhanced Natural Attack</t>
  </si>
  <si>
    <t>Opportunistic Strike Tier 1</t>
  </si>
  <si>
    <t>Opportunistic Strike Tier 2</t>
  </si>
  <si>
    <t>Opportunistic Strike Tier 3</t>
  </si>
  <si>
    <t>Quickdraw / Quickload</t>
  </si>
  <si>
    <t>Riposte</t>
  </si>
  <si>
    <t>Sense Weakness</t>
  </si>
  <si>
    <t>Sharpshooter</t>
  </si>
  <si>
    <t>Add +5 OB to missile attacks for each consecutive round spent aiming (a Concentration action). + 5 OB per round / Tier.</t>
  </si>
  <si>
    <t>Smooth Footwork</t>
  </si>
  <si>
    <t>May move during a melee attack without using % activity. Move 10% (of BMR)/ Tier without penalty. See description.</t>
  </si>
  <si>
    <t>Foiler</t>
  </si>
  <si>
    <t>Badeye</t>
  </si>
  <si>
    <t>Character has poor aim with projectile weapons. All range categories reduced. - 10% Range / Tier</t>
  </si>
  <si>
    <t>Weak Arm</t>
  </si>
  <si>
    <t>Fighting Brick Tier 1</t>
  </si>
  <si>
    <t>Character has difficulty coordinating movement in combat, the penalty to OB for pace increased. Penalty of +1 pace level.</t>
  </si>
  <si>
    <t>Fighting Brick Tier 2</t>
  </si>
  <si>
    <t>Character has difficulty coordinating movement in combat, the penalty to OB for pace increased. Penalty of +2 pace levels.</t>
  </si>
  <si>
    <t>Nonviolent Tier 1</t>
  </si>
  <si>
    <t>Nonviolent Tier 2</t>
  </si>
  <si>
    <t>Slow on the Draw</t>
  </si>
  <si>
    <t>Drawing and preparing a weapon for combat takes additional % activity. Increase drawing action by 5%/Tier</t>
  </si>
  <si>
    <t>Weak Natural Attack</t>
  </si>
  <si>
    <t>Adrenal Strength</t>
  </si>
  <si>
    <t>Adrenal Speed</t>
  </si>
  <si>
    <t>Extended Adrenals</t>
  </si>
  <si>
    <t>Frenzy</t>
  </si>
  <si>
    <t>Light Sleeper</t>
  </si>
  <si>
    <t>Meditational Sleep</t>
  </si>
  <si>
    <t>Character gets twice as much benefit from resting and thus may sleep half as long as normal.</t>
  </si>
  <si>
    <t>Heavy Sleeper</t>
  </si>
  <si>
    <t>Character receives a -25 penalty to Perception rolls to awake from sleep and subsequent rolls to act after awakening.</t>
  </si>
  <si>
    <t>Restless Sleeper</t>
  </si>
  <si>
    <t>Master of Ceremonies</t>
  </si>
  <si>
    <t>Character has rare connection with magical energy and is naturally adept at magic rituals. +5 Skill / Tier to all Magic Rituals.</t>
  </si>
  <si>
    <t>Mystical Awareness</t>
  </si>
  <si>
    <t>Additional Realm</t>
  </si>
  <si>
    <t>Eloquence</t>
  </si>
  <si>
    <t>The character gets a bonus to all Spell Casting Rolls (SCRs). +5 to SCRs / Tier</t>
  </si>
  <si>
    <t>Extended Reach Tier 1</t>
  </si>
  <si>
    <t>The character is able to cast Touch spells from a single spell list with a range of 5’.</t>
  </si>
  <si>
    <t>Extended Reach Tier 2</t>
  </si>
  <si>
    <t>The character is able to cast Touch spells from a single spell list with a range of 10’.</t>
  </si>
  <si>
    <t>Extended Reach Tier 3</t>
  </si>
  <si>
    <t>The character is able to cast Touch spells from a single spell list with a range of 20’.</t>
  </si>
  <si>
    <t>Graceful Recovery</t>
  </si>
  <si>
    <t>When suffering a Spell Failure the Spell Failure roll is reduced by 5 (to a minimum of 1). Reduce Spell Failure Roll by 5/Tier.</t>
  </si>
  <si>
    <t>Innate Power: Spell</t>
  </si>
  <si>
    <t>Character has an innate spell-like ability (see Spell Law) Innate power that is a single spell.</t>
  </si>
  <si>
    <t>Innate Power: Spell List</t>
  </si>
  <si>
    <t>Character has an innate spell-like ability (see Spell Law) Innate power in one list up to given level.</t>
  </si>
  <si>
    <t>Master Channeler</t>
  </si>
  <si>
    <t>Power Recycling Tier 1</t>
  </si>
  <si>
    <t>Power Recycling Tier 2</t>
  </si>
  <si>
    <t>Power Recycling Tier 3</t>
  </si>
  <si>
    <t>Power Recycling Tier 4</t>
  </si>
  <si>
    <t>Quick Casting</t>
  </si>
  <si>
    <t>Scope Skills: Radius</t>
  </si>
  <si>
    <t>The character is able to cast spells from a single spell list with an increased radius of effect. + 50 % Radius / Tier</t>
  </si>
  <si>
    <t>Scope Skills: Targets</t>
  </si>
  <si>
    <t>Spatial Skills</t>
  </si>
  <si>
    <t>Character is able to cast spells from a single spell list at greater distance than normal. + 50% Range / Tier</t>
  </si>
  <si>
    <t>Subconscious Discipline Tier 1</t>
  </si>
  <si>
    <t>Subconscious Discipline Tier 2</t>
  </si>
  <si>
    <t>Temporal Skills</t>
  </si>
  <si>
    <t>Mumbler</t>
  </si>
  <si>
    <t>Inglorious Failure</t>
  </si>
  <si>
    <t>Darkvision</t>
  </si>
  <si>
    <t xml:space="preserve">The character can see ten feet even in complete darkness. </t>
  </si>
  <si>
    <t>Endurance</t>
  </si>
  <si>
    <t>The character gets a bonus to all Fatigue checks. +10 Fatigue Checks / Tier</t>
  </si>
  <si>
    <t>Fast Healer</t>
  </si>
  <si>
    <t>Gigantism</t>
  </si>
  <si>
    <t>Methuselah Tier 1</t>
  </si>
  <si>
    <t>Methuselah Tier 2</t>
  </si>
  <si>
    <t>Methuselah Tier 3</t>
  </si>
  <si>
    <t>Natural Armor</t>
  </si>
  <si>
    <t>Natural Weapon</t>
  </si>
  <si>
    <t>Nightvision</t>
  </si>
  <si>
    <t>Stat Bonus</t>
  </si>
  <si>
    <t>Tough</t>
  </si>
  <si>
    <t>Dwarfism</t>
  </si>
  <si>
    <t>The character is of a smaller size than Medium. -1 size / Tier</t>
  </si>
  <si>
    <t>Light Sensitivity</t>
  </si>
  <si>
    <t>Stat Penalty</t>
  </si>
  <si>
    <t>Stunted Lifespan Tier 1</t>
  </si>
  <si>
    <t>Stunted Lifespan Tier 2</t>
  </si>
  <si>
    <t>Stunted Lifespan Tier 3</t>
  </si>
  <si>
    <t>Slow Healer</t>
  </si>
  <si>
    <t>Feeble</t>
  </si>
  <si>
    <t>The character gets a special penalty to all Fatigue checks. -10 Fatigue Checks / Tier</t>
  </si>
  <si>
    <t>Fragile</t>
  </si>
  <si>
    <t>The character gets a penalty to base hits. -5 Base Hits / Tier</t>
  </si>
  <si>
    <t>Resistance</t>
  </si>
  <si>
    <t>The character is immune to diseases, no RR is necessary. Immune to normal diseases</t>
  </si>
  <si>
    <t>The character is immune to diseases, no RR is necessary. Immune to normal and magical diseases</t>
  </si>
  <si>
    <t>Magical Resistance</t>
  </si>
  <si>
    <t>Resistant to the Elements</t>
  </si>
  <si>
    <t>Resistance to Disease</t>
  </si>
  <si>
    <t>Character gets a bonus to RRs vs. Disease (Normal or Magical). + 10 RR / Tier</t>
  </si>
  <si>
    <t>Resistance to Poison</t>
  </si>
  <si>
    <t>Character gets a bonus to RRs vs. Poison (Normal or Magical). + 10 RR / Tier</t>
  </si>
  <si>
    <t>Iron Will</t>
  </si>
  <si>
    <t>Against mental attack spells the character receives a bonus to Resistance Rolls. + 5 DB and RR / Tier</t>
  </si>
  <si>
    <t>Animal Empathy Tier 1</t>
  </si>
  <si>
    <t>Maneuvers involving one type of animal are at +25. Communicate empathically to a range of 100’ after 1 month of care.</t>
  </si>
  <si>
    <t>Animal Empathy Tier 2</t>
  </si>
  <si>
    <t>10 + 5/Tier</t>
  </si>
  <si>
    <t>Maneuvers involving one type of animal are at +25. Communicate empathically, range 100’  +25'/Tier after 1 month of care.</t>
  </si>
  <si>
    <t>Destiny Sense Tier 1</t>
  </si>
  <si>
    <t>Character instinctively knows the direction that will take him to a specific goal. This can be used once per day</t>
  </si>
  <si>
    <t>Destiny Sense Tier 2</t>
  </si>
  <si>
    <t>Character instinctively knows the direction and distance that will take him to a specific goal. This can be used once per day</t>
  </si>
  <si>
    <t>Prodigy</t>
  </si>
  <si>
    <t>Night-fighting</t>
  </si>
  <si>
    <t>Character can fight and perform maneuvers in less than ideal light conditions. Reduce penalty by -10/Tier (-50 max)</t>
  </si>
  <si>
    <t>Visions Tier 1</t>
  </si>
  <si>
    <t>Able to receive spontaneous visions of persons/places/objects from objects that touched by bare skin. 1 vision/day.</t>
  </si>
  <si>
    <t>Visions Tier 2</t>
  </si>
  <si>
    <t>Able to receive spontaneous visions of persons/places/objects from objects that touched by bare skin. 2 vision/day.</t>
  </si>
  <si>
    <t>Visions Tier 3</t>
  </si>
  <si>
    <t>Able to receive spontaneous visions of persons/places/objects from objects that touched by bare skin. 3 vision/day.</t>
  </si>
  <si>
    <t>Blood Shy Tier 1</t>
  </si>
  <si>
    <t>Blood Shy Tier 2</t>
  </si>
  <si>
    <t>Inept</t>
  </si>
  <si>
    <t>Racial:</t>
  </si>
  <si>
    <t>Name</t>
  </si>
  <si>
    <t>Cost</t>
  </si>
  <si>
    <t>Acute Sense: Hearing</t>
  </si>
  <si>
    <t>Acute Sense: Smell</t>
  </si>
  <si>
    <t>Acute Sense: Taste</t>
  </si>
  <si>
    <t>Acute Sense: Touch</t>
  </si>
  <si>
    <t>Poor Senses: Vision</t>
  </si>
  <si>
    <t>Immune to Disease Tier 1</t>
  </si>
  <si>
    <t>Immune to Disease Tier 2</t>
  </si>
  <si>
    <t>Acute Sense: Vision</t>
  </si>
  <si>
    <t>Max Tier</t>
  </si>
  <si>
    <t>Make an additional attack roll against a melee opponent who fumbles. Free attack at -50. See descrption for details.</t>
  </si>
  <si>
    <t>Make an additional attack roll against a melee opponent who fumbles. Free attack at -25. See descrption for details.</t>
  </si>
  <si>
    <t>RS/RS/Re</t>
  </si>
  <si>
    <t>Enter the Player's name here:</t>
  </si>
  <si>
    <t>Enter the Character's name here:</t>
  </si>
  <si>
    <t>Level Gain</t>
  </si>
  <si>
    <t>Enter the XP at the bottom of the "Character" sheet. The level will increment automatically.</t>
  </si>
  <si>
    <t>Select your race from this pull-down list right here:</t>
  </si>
  <si>
    <t>Select your culture from this pull-down list:</t>
  </si>
  <si>
    <t>Lore: Choice1</t>
  </si>
  <si>
    <t>Lore: Choice2</t>
  </si>
  <si>
    <t>Craft/Comp/PA: Choice1</t>
  </si>
  <si>
    <t>Craft/Comp/PA: Choice2</t>
  </si>
  <si>
    <t>Vocation: Choice1</t>
  </si>
  <si>
    <t>Vocation: Choice2</t>
  </si>
  <si>
    <t>On "Character" in column "U" enter your temporary stats. The total value is calculated for you in Cell U13.</t>
  </si>
  <si>
    <t>On "Character" put any special modifiers to DB into grey box in cell O18 (not from Qu but any other DB mods from things like Talents).</t>
  </si>
  <si>
    <t>Additional edits by Jonathan Dale</t>
  </si>
  <si>
    <t>Channeling/Mentalism</t>
  </si>
  <si>
    <t>Essence/Mentalism</t>
  </si>
  <si>
    <t>Channeling/Essence</t>
  </si>
  <si>
    <t>Profession bonus</t>
  </si>
  <si>
    <t>Talent 1</t>
  </si>
  <si>
    <t>Talent 2</t>
  </si>
  <si>
    <t>Talent 3</t>
  </si>
  <si>
    <t>Talent 4</t>
  </si>
  <si>
    <t>Talent 5</t>
  </si>
  <si>
    <t>Talent 6</t>
  </si>
  <si>
    <t>Talent 7</t>
  </si>
  <si>
    <t>Armor Weight %</t>
  </si>
  <si>
    <t>Other Penalties</t>
  </si>
  <si>
    <t>Weight %</t>
  </si>
  <si>
    <t>Man. Penalty</t>
  </si>
  <si>
    <t>Total Penalty</t>
  </si>
  <si>
    <t>Total Weight %</t>
  </si>
  <si>
    <t>Torso Enc %</t>
  </si>
  <si>
    <t>Arm Enc %</t>
  </si>
  <si>
    <t>Leg Enc %</t>
  </si>
  <si>
    <t>Head Enc %</t>
  </si>
  <si>
    <t>Head Perc Pen</t>
  </si>
  <si>
    <t>Thanks to "technophobe" for the addition of the talents section.</t>
  </si>
  <si>
    <t>hit is recovered every full continuous hour of resting.</t>
  </si>
  <si>
    <t>hits are recovered every hour of continuous sleep.</t>
  </si>
  <si>
    <t>Healing</t>
  </si>
  <si>
    <t>Nomad</t>
  </si>
  <si>
    <t>Power Points:</t>
  </si>
  <si>
    <t>Is Armor Weight Correct?</t>
  </si>
  <si>
    <t xml:space="preserve">Talent notes: </t>
  </si>
  <si>
    <t>Tier</t>
  </si>
  <si>
    <t>Armor Weight Should Be…</t>
  </si>
  <si>
    <t>Character can read emotions of those within 25’. See Description.</t>
  </si>
  <si>
    <t>Monies</t>
  </si>
  <si>
    <t>Initiative Mods</t>
  </si>
  <si>
    <t>Power Enhancers</t>
  </si>
  <si>
    <t>Power Point Multiplier</t>
  </si>
  <si>
    <t>Power Point Adder</t>
  </si>
  <si>
    <t>Concussion Hits:</t>
  </si>
  <si>
    <t>Total DB w/Shield:</t>
  </si>
  <si>
    <t>Armor &amp; Encumbrance Penalties</t>
  </si>
  <si>
    <t>The 13th cell of your new temps shows the cost, and the difference from last level in cell 14, if you are using the point buy method.</t>
  </si>
  <si>
    <t>On "Character" enter each piece of equipment the character is currently carrying into cells B31-56.</t>
  </si>
  <si>
    <t>On "Character" enter where each piece of equipment is typically worn or kept into cells E31-56.</t>
  </si>
  <si>
    <t>On "Character" enter the total percentage of the particular piece of equipment that is living organic in I31-56.</t>
  </si>
  <si>
    <t>On "Character" enter the total percentage of the particular piece of equipment that is non-living organic in J31-56.</t>
  </si>
  <si>
    <t xml:space="preserve">When a level is selected the cost will automatically be added to the appropriate level's DP total in the "Skills" tab. </t>
  </si>
  <si>
    <t>On "Skills" spend your 10 Linguistics Ranks in column "O" cells 5-9 (All cultures receive the same number of Ranks).</t>
  </si>
  <si>
    <t>On "Skills", pick Composition, Craft, or Performance Arts Ranks and record them in column "O" cells 111-115 and/or 123-126.</t>
  </si>
  <si>
    <t>Your selected culture recieves this many Ranks in two selected Skills:</t>
  </si>
  <si>
    <t>On "Character" in column "T" enter your potential stats. The total value is calculated for you in Cell T13 if you are using the point buy method.</t>
  </si>
  <si>
    <t>On "Character" if your character owns any Power Enhancers input their strengths in column "U" under the "Combat Training Priorities" in the grey boxes provided.  They must be attuned and only the strongest of each will effect a character's Power Points.</t>
  </si>
  <si>
    <t>Instructions apply to either the "Character" or the "Skills" tabs of this sheet, and will say which.</t>
  </si>
  <si>
    <t>Purchase Skills for level 1 on the "Skills" sheet, entering them in column P. Specify Skills that require it.</t>
  </si>
  <si>
    <t>On "Skills" the Profession Bonus will be calculated automatically for all Professions except No Profession. When No Profession is selected whichever 7 areas are determined to receive the Profession Bonus must be filled into the "Skills" tab cells DO5-126 with an "x".  This will populate the Profession Bonus so it is calculated correctly.</t>
  </si>
  <si>
    <t>Puchase Skills for level 2 on "Skills" enter on column "U" ("V" for level 3, "W" for level 4, etc.).</t>
  </si>
  <si>
    <t>Total weights for organic living (cell K57), organic non-living (cell L57) and inorganic (M57) material will be automatically totaled.</t>
  </si>
  <si>
    <t>On "Character" in the Talents box use the drop down lists to select up to 7 Talents or Flaws.</t>
  </si>
  <si>
    <t xml:space="preserve">On "Character" in the Talents box type the tier of the Talent under "Tier." The cost will be automatically calculated.  </t>
  </si>
  <si>
    <t>When a Talent is selected a brief description will appear under effects. Consult Character Law for the full description.</t>
  </si>
  <si>
    <t>Select your Profession from this pull-down list:</t>
  </si>
  <si>
    <t>Channeling/Essence/Mentalism</t>
  </si>
  <si>
    <t>Realm stat</t>
  </si>
  <si>
    <t>Lowest Stat Bonus</t>
  </si>
  <si>
    <t>Realm Stat Bonus</t>
  </si>
  <si>
    <t>Ag/SD/RS</t>
  </si>
  <si>
    <t>Character has a distinct odor. Grants others a +50 bonus to Perception and Tracking efforts aginst him based on smell.</t>
  </si>
  <si>
    <t>Powerful eyes grant +10 / Tier (+20 max) to Influence Skills, Leadership). Must make eye contact.</t>
  </si>
  <si>
    <t xml:space="preserve">Aggressive fighting grants a +10 OB to a follow-up attack after critical is inflicted. </t>
  </si>
  <si>
    <t xml:space="preserve">Aggressive fighting grants a +5 OB to a follow-up attack after critical is inflicted. </t>
  </si>
  <si>
    <t>One of the character’s natural attacks is increased +1 Size. Attack at Size + 1/Tier</t>
  </si>
  <si>
    <t>Make an additional attack roll against a melee opponent who fumbles. Free attack. See descrption for details.</t>
  </si>
  <si>
    <t>Specify weapon. Character may make a "Riposte" attack after an effective full parry. See description for details.</t>
  </si>
  <si>
    <t>Make 20% Perception maneouvre. If successful next crit may be rerolled. The higher of the two is used. See description.</t>
  </si>
  <si>
    <t>Character has limp attacks with thrown weapons. All range categories reduced. - 10% Range / Tier</t>
  </si>
  <si>
    <t>One of the character’s natural attacks is decreased in Size. Attack must be specified. Attack at Size - 1/ Tier</t>
  </si>
  <si>
    <t>The character is able to extend the effect of Adrenal Focus essentially double how long the Move will last.</t>
  </si>
  <si>
    <t>Character receives a +25 bonus to Perception rolls to awaken from sleep and subsequent rolls to act after awakening.</t>
  </si>
  <si>
    <t>Character has a hard time getting restful sleep, and thus must sleep 50% more to get as much rest as an average person.</t>
  </si>
  <si>
    <t>If character has a spell failure result, he is able to recover 50% of the Power Points used.</t>
  </si>
  <si>
    <t>If character has a spell failure result, he is able to recover 100% of the Power Points used.</t>
  </si>
  <si>
    <t>Maximum Activity % for non-instantaneous spellcasting (normally 60-90%) is reduced by 10% / Tier</t>
  </si>
  <si>
    <t>Character can extend the duration of Concentration based spells. Spell continues for half of rounds spent concentrating.</t>
  </si>
  <si>
    <t>Character can extend the duration of Concentration based spells. Spell continues for # of rounds spent concentrating.</t>
  </si>
  <si>
    <t>The character gets a penalty to all Spellcasting Rolls (SCRs). -5 to SCRs / Tier</t>
  </si>
  <si>
    <t>When suffering a Spell Failure the Spell Failure roll is increased. Increase Spell Failure Roll by + 5/Tier</t>
  </si>
  <si>
    <t>The character is larger than Medium Size. +1 size / Tier.</t>
  </si>
  <si>
    <t>Gives the character one natural attack (e.g., a bite, claw, etc.). Use the Enhanced Natural Attack Talent to increase its Size.</t>
  </si>
  <si>
    <t>The character can see in dim light, equivalent to nighttime conditions to 100', as well as a human can see in daylight.</t>
  </si>
  <si>
    <t>Improves one stat by + 1 per tier. Can be taken more than once for multiple stats.</t>
  </si>
  <si>
    <t>The character gets a bonus to base hits. Without this Talent base hits are equal to 25. +5 Base Hits / Tier</t>
  </si>
  <si>
    <t>Character gets a -1 Penalty to one stat bonus per tier. Can be taken more than once for more than one stat.</t>
  </si>
  <si>
    <t>The character gets a bonus to RRs versus a specific Realm of magic. + 10 RR / Tier (+30 max)</t>
  </si>
  <si>
    <t xml:space="preserve">Character gets a + 5 DB and RR / Tier (+25 max) versus either: Cold/Ice, Heat/Fire, or Electricity/ Light attacks. </t>
  </si>
  <si>
    <t>Provides a bonus to a single Skill that requires specialization. +5 Skill / Tier.</t>
  </si>
  <si>
    <t>Must make a Fear RR when bleeding is visible. Each 1 bleed / round = +1 level Fear RR.</t>
  </si>
  <si>
    <t>Must make a Fear RR when bleeding is visible. Each 1 bleed / round = +2 level Fear RR.</t>
  </si>
  <si>
    <t>Provides a penalty to a single Skill that requires specialization. -5 Skill / Tier.</t>
  </si>
  <si>
    <t>--</t>
  </si>
  <si>
    <t>Weight Carried:</t>
  </si>
  <si>
    <t>Gain +5 Str bonus, +1 attack Size, no penalties due to hit loss, unconscious at -3X Con bonus, no DB. See description.</t>
  </si>
  <si>
    <t>Level</t>
  </si>
  <si>
    <t>On "Character" in the Talents box type the level the Talent was purchased under "Level."</t>
  </si>
  <si>
    <t>E.g. Select the Talent "Acute Sense: Hearing" to tier 2 and received at level 1. Type 1 under "Level" and 2 under "Tier." The cost of 8 will appear and 8 DP will be added to the level 1 DP spent on the "Skills" tab. If you buy a third tier at level 2 re-select it on the next line then type under "Level" and 1 under "Tier." The cost  of 4 will be calculated and added to level 2's spent DP.</t>
  </si>
  <si>
    <t>Total Cost of Equipment</t>
  </si>
  <si>
    <t>Total Worth of Coins Carried</t>
  </si>
  <si>
    <t>Location of Item</t>
  </si>
  <si>
    <t>Maneuver Penalty:</t>
  </si>
  <si>
    <t>Maximum Pace:</t>
  </si>
  <si>
    <t>sleep or every 2 hours of meditation.</t>
  </si>
  <si>
    <t xml:space="preserve">power points are recovered every 4 hours of continuous </t>
  </si>
  <si>
    <t>Miscellaneous Details</t>
  </si>
  <si>
    <t>Weapon</t>
  </si>
  <si>
    <t>Fumble</t>
  </si>
  <si>
    <t>Length</t>
  </si>
  <si>
    <t>Short (0)</t>
  </si>
  <si>
    <t>Medium (-10)</t>
  </si>
  <si>
    <t>Long (-25)</t>
  </si>
  <si>
    <t>Extreme (-50)</t>
  </si>
  <si>
    <t>Absurd (-100)</t>
  </si>
  <si>
    <t>Miscellaneous</t>
  </si>
  <si>
    <t>One Handed Weapon</t>
  </si>
  <si>
    <t>Dagger</t>
  </si>
  <si>
    <t>74-86</t>
  </si>
  <si>
    <t>0.75-1.5'</t>
  </si>
  <si>
    <t>0.5-1.5 lbs</t>
  </si>
  <si>
    <t>Main Gauche</t>
  </si>
  <si>
    <t>65-75</t>
  </si>
  <si>
    <t>1'-1.5'</t>
  </si>
  <si>
    <t>1-2 lbs</t>
  </si>
  <si>
    <t>Short Sword</t>
  </si>
  <si>
    <t>1.5'-2'</t>
  </si>
  <si>
    <t>Rapier</t>
  </si>
  <si>
    <t>38-42</t>
  </si>
  <si>
    <t>3'-5'</t>
  </si>
  <si>
    <t>1.5-3 lbs</t>
  </si>
  <si>
    <t>Longsword</t>
  </si>
  <si>
    <t>64-76</t>
  </si>
  <si>
    <t>Broadsword</t>
  </si>
  <si>
    <t>75-86</t>
  </si>
  <si>
    <t>2'-3.5'</t>
  </si>
  <si>
    <t>3-5 lbs</t>
  </si>
  <si>
    <t xml:space="preserve">Scimitar </t>
  </si>
  <si>
    <t>56-64</t>
  </si>
  <si>
    <t>2.5'-4'</t>
  </si>
  <si>
    <t>Falchion</t>
  </si>
  <si>
    <t>2'-3'</t>
  </si>
  <si>
    <t>3.5-5 lbs</t>
  </si>
  <si>
    <t>Mace</t>
  </si>
  <si>
    <t>60-70</t>
  </si>
  <si>
    <t>1'-3'</t>
  </si>
  <si>
    <t>3.5-8 lbs</t>
  </si>
  <si>
    <t>Club</t>
  </si>
  <si>
    <t>30-40</t>
  </si>
  <si>
    <t>3-7 lbs</t>
  </si>
  <si>
    <t>Hand Axe</t>
  </si>
  <si>
    <t>50-60</t>
  </si>
  <si>
    <t>4-6 lbs</t>
  </si>
  <si>
    <t>Battle Axe</t>
  </si>
  <si>
    <t>5-9 lbs</t>
  </si>
  <si>
    <t>War Hammer</t>
  </si>
  <si>
    <t>1.5'-4'</t>
  </si>
  <si>
    <t>4-7 lbs</t>
  </si>
  <si>
    <t>Flail</t>
  </si>
  <si>
    <t>4-8 lbs</t>
  </si>
  <si>
    <t>Whip</t>
  </si>
  <si>
    <t>35-45</t>
  </si>
  <si>
    <t>6'-9'</t>
  </si>
  <si>
    <t>2-5 lbs</t>
  </si>
  <si>
    <t>Two Handed Weapon</t>
  </si>
  <si>
    <t>Two-handed Spear</t>
  </si>
  <si>
    <t>37-43</t>
  </si>
  <si>
    <t>5'-10'</t>
  </si>
  <si>
    <t>3-8 lbs</t>
  </si>
  <si>
    <t>Halberd</t>
  </si>
  <si>
    <t>6'-12'</t>
  </si>
  <si>
    <t>6-9 lbs</t>
  </si>
  <si>
    <t>Pole Axe</t>
  </si>
  <si>
    <t>6'-15'</t>
  </si>
  <si>
    <t>5-12 lbs</t>
  </si>
  <si>
    <t>War Mattock</t>
  </si>
  <si>
    <t>3.5'-5'</t>
  </si>
  <si>
    <t>2-H Club</t>
  </si>
  <si>
    <t>4'-6'</t>
  </si>
  <si>
    <t>4-9 lbs</t>
  </si>
  <si>
    <t>Quarterstaff</t>
  </si>
  <si>
    <t>5'-7'</t>
  </si>
  <si>
    <t>2-H Axe</t>
  </si>
  <si>
    <t>55-65</t>
  </si>
  <si>
    <t>6-10 lbs</t>
  </si>
  <si>
    <t>Heavy Flail</t>
  </si>
  <si>
    <t>2-H Sword</t>
  </si>
  <si>
    <t>69-81</t>
  </si>
  <si>
    <t>3.5'-6.5'</t>
  </si>
  <si>
    <t>Ranged Weapon</t>
  </si>
  <si>
    <t>Ranged Bola</t>
  </si>
  <si>
    <t>27-33</t>
  </si>
  <si>
    <t>3'-6'</t>
  </si>
  <si>
    <t>2-6 lbs</t>
  </si>
  <si>
    <t>Javelin</t>
  </si>
  <si>
    <t>4'-7'</t>
  </si>
  <si>
    <t>Sling</t>
  </si>
  <si>
    <t>90-100</t>
  </si>
  <si>
    <t>1.5'-3'</t>
  </si>
  <si>
    <t>0.5-1 lbs</t>
  </si>
  <si>
    <t>Short Bow</t>
  </si>
  <si>
    <t>75-85</t>
  </si>
  <si>
    <t>2.5'-3.5'</t>
  </si>
  <si>
    <t>1.5-2 lbs</t>
  </si>
  <si>
    <t>Long Bow</t>
  </si>
  <si>
    <t>80-90</t>
  </si>
  <si>
    <t>2-3 lbs</t>
  </si>
  <si>
    <t>Light Crossbow</t>
  </si>
  <si>
    <t>70-80</t>
  </si>
  <si>
    <t>2'-4'</t>
  </si>
  <si>
    <t>Heavy Crossbow</t>
  </si>
  <si>
    <t>3.5'-4.5'</t>
  </si>
  <si>
    <t>8-12 lbs</t>
  </si>
  <si>
    <t>+30 Point Blank</t>
  </si>
  <si>
    <t>Bolt Attacks</t>
  </si>
  <si>
    <t>Fire Bolt</t>
  </si>
  <si>
    <t>Ice Bolt</t>
  </si>
  <si>
    <t>Lightning Bolt</t>
  </si>
  <si>
    <t xml:space="preserve">Water Bolt </t>
  </si>
  <si>
    <t>Cold Ball</t>
  </si>
  <si>
    <t xml:space="preserve">Fire Ball </t>
  </si>
  <si>
    <t>Lightning Ball</t>
  </si>
  <si>
    <t>2-4 lbs</t>
  </si>
  <si>
    <t>Short</t>
  </si>
  <si>
    <t>Long</t>
  </si>
  <si>
    <t>Extreme</t>
  </si>
  <si>
    <t>Absurd</t>
  </si>
  <si>
    <t>Range Penalties</t>
  </si>
  <si>
    <t>Misc</t>
  </si>
  <si>
    <t>Recover 50% of the Power Points used from a spell failure. Absorb 100% PP from other casters failures as well.</t>
  </si>
  <si>
    <t>Recover 50% of the Power Points used from a spell failure. Absorb 50% PP from other caster's failures as well.</t>
  </si>
  <si>
    <t>Character is able to cast spells from a single spell list to effect a greater number of targets. + 100% Targets / Tier</t>
  </si>
  <si>
    <t>Character recovers from wounds faster than normal. Recover at ½ the normal time.</t>
  </si>
  <si>
    <t>The character has a longer than normal lifespan. Extended lifespan (&gt; 200 years).</t>
  </si>
  <si>
    <t>The character has a longer than normal lifespan. Long lifespan (&gt; 500 years).</t>
  </si>
  <si>
    <t>The character has a longer than normal lifespan. Very long lifespan (1000+ years) or immortal.</t>
  </si>
  <si>
    <t>Character’s skin is resistant to attacks, as if wearing armor, incurring no normal armour penalties. +1 AT / Tier (+9 max, AT 10).</t>
  </si>
  <si>
    <t>Character is at a penalty when in bright light equal to direct sunlight. 25 penalty / Tier (-100 max).</t>
  </si>
  <si>
    <t>The character has a shorter than normal lifespan. Short lifespan (&lt; 50 years).</t>
  </si>
  <si>
    <t>The character has a shorter than normal lifespan. Very short lifespan (&lt; 25 years).</t>
  </si>
  <si>
    <t>The character has a shorter than normal lifespan. Brief lifespan (&lt; 10 years).</t>
  </si>
  <si>
    <t>Character recovers from wounds slower than normal. (1/2 as fast).</t>
  </si>
  <si>
    <t>Smell, or a similar sense.</t>
  </si>
  <si>
    <t>Bleeding injuries are automatically increased by 1 hit/round per tier of this talent -10 / Tier (-2 max).</t>
  </si>
  <si>
    <t>Character has a grating or annoying tone of voice. Penalty to maneuvers to verbally calm or persuade -10 / Tier (-20 max).</t>
  </si>
  <si>
    <t>Bleeding injuries are automatically lowered by 1 hit/round per tier of this talent. -1 bleed / Tier (-2 max).</t>
  </si>
  <si>
    <t>This talent gives a bonus to any Performance Art: Singing or Play Instrument skill. +10 / Tier (+50 max).</t>
  </si>
  <si>
    <t>Soothing and calming voice. Bonus to any maneuver to verbally calm or persuade +10 / Tier (+20 max).</t>
  </si>
  <si>
    <t>Sense things inside body or affecting character (i.e., like taste).</t>
  </si>
  <si>
    <t>Ignore off-hand penalty.</t>
  </si>
  <si>
    <t>Character has crazed or jittery eyes. Penalty to all Skills involving interacting with other people. -10 / Tier (-20 max).</t>
  </si>
  <si>
    <t>This flaw gives a Penalty to any Performance Art: Singing or Play Instrument Skill. -10 / Tier (-50 max).</t>
  </si>
  <si>
    <t>A specific Combat Training Skill must be specified when this Talent is taken. See desription. +1 DB/rank in specified Skill.</t>
  </si>
  <si>
    <t>A specific Combat Training Skill must be specified when this Talent is taken. See desription. +2 DB/rank in specified Skill.</t>
  </si>
  <si>
    <t>A specific Combat Training Skill must be specified when this Talent is taken. See desription. +3 DB/rank in specified Skill.</t>
  </si>
  <si>
    <t>Reduce % activity for drawing or loading a weapon. Must specify weapon type. -5% activity/Tier (0% Min).</t>
  </si>
  <si>
    <t>Opponents who make melee attacks against the character have Increased Fumble Ranges. +1/Tier to foes’ Fumble ranges.</t>
  </si>
  <si>
    <t>Character does not want to hurt others. This flaw grants a -5 OB to a follow-up attack after a critical is inflicted.</t>
  </si>
  <si>
    <t>Character does not want to hurt others. This flaw grants a -10 OB to a follow-up attack after a critical is inflicted.</t>
  </si>
  <si>
    <t>Character can focus and accomplish feats of strength beyond normal using adrenal focus. +1 Strength Bonus / Tier (+5 max).</t>
  </si>
  <si>
    <t>Character has the ability to focus his reflexes in order to move more quickly. +1 initiative, +10% activity (+10/+100% max).</t>
  </si>
  <si>
    <t>Mystical awareness of the surroundings which can be used in place of sight. Reduce Blind penalty by -10/Tier (-50 max).</t>
  </si>
  <si>
    <t>Character gains access to another Realm of magic/Tier. New Realm is treated as one of the caster’s Realms for all purposes.</t>
  </si>
  <si>
    <t>Character is very effective at the Channeling Skill. +5 Channeling / Tier (for both participants).</t>
  </si>
  <si>
    <t>Character can extend the duration of his spells (no Concentration spells) for a single spell list. + 50% Duration / Tier</t>
  </si>
  <si>
    <t>On "Character" the total cost of each item can be inputted to get total cost of initial purchases - total cost by coin will appear in row 57 and cell R59.</t>
  </si>
  <si>
    <t>On "Character" enter the total weight of each piece of equipment into cells H31-56 total weight will be determined in H57.</t>
  </si>
  <si>
    <t>Do temporary stat gain, enter the new values for level 2 in column "Q" (or "R" for level 3, "S" for level 4, etc.).  For stats that did not increase,</t>
  </si>
  <si>
    <t>enter the same values from the previous level.</t>
  </si>
  <si>
    <t xml:space="preserve">On "Character" in column "U" under "Combat Training Categories," assign your weapon category priorities.  The first listed Skill will have the </t>
  </si>
  <si>
    <t>lowest cost, the second Skill will have the second lowest cost, etc.</t>
  </si>
  <si>
    <t>If you selected an Arms Profession (non-casters) or have purchased the "Additional Realm" Talent, select your Realm:</t>
  </si>
  <si>
    <t>Realm(s)</t>
  </si>
  <si>
    <t>OB</t>
  </si>
  <si>
    <t>On "Character" if your character is not currently carrying or wearing an item in their equipment list use the pull down in column "A" to indicate "No" so the weights are not counted against your character for spellcasting and encumbrance (e.g., they drop their backpack, leave item in bank, etc.).  Select "Armor" if the item is a piece of armor and it is currently worn.  This removes the double penalization for armor weight (for spellcasting and for encumbrance).  The total in cell M65 should be 0.00 or below if you have correctly determined your armor weight.  This may require some adjustments in the weight in column "H" for each piece of armor in the Equipment section.  The "Weapon" pull down is to indicate that an equipment item is a weapon.  This will populate a table to the right of equipment with a weapon's breakage, fumble range, range of any missile weapons, etc.  Make sure that the weapon name is spelled correctly or the weapon info table will not populate.</t>
  </si>
  <si>
    <t>+15 Point Blank</t>
  </si>
  <si>
    <t>Spell List:</t>
  </si>
  <si>
    <t>Spirit Mastery</t>
  </si>
  <si>
    <t>Base: Spirit Mastery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</si>
</sst>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
    <numFmt numFmtId="165" formatCode="#&quot; lbs.&quot;"/>
    <numFmt numFmtId="166" formatCode="0.0%"/>
    <numFmt numFmtId="167" formatCode="#0.00&quot; lbs.&quot;"/>
    <numFmt numFmtId="168" formatCode="0.0000\ &quot;sp&quot;"/>
    <numFmt numFmtId="169" formatCode="#0.0\-0.0&quot; lbs.&quot;"/>
    <numFmt numFmtId="170" formatCode="#&quot;'&quot;"/>
  </numFmts>
  <fonts count="45" x14ac:knownFonts="1">
    <font>
      <sz val="11"/>
      <color theme="1"/>
      <name val="Calibri"/>
      <family val="2"/>
      <scheme val="minor"/>
    </font>
    <font>
      <b/>
      <sz val="11"/>
      <color theme="1"/>
      <name val="Calibri"/>
      <family val="2"/>
      <scheme val="minor"/>
    </font>
    <font>
      <b/>
      <sz val="12"/>
      <name val="Garamond"/>
      <family val="1"/>
    </font>
    <font>
      <b/>
      <sz val="11"/>
      <name val="Garamond"/>
      <family val="1"/>
    </font>
    <font>
      <sz val="12"/>
      <name val="Garamond"/>
      <family val="1"/>
    </font>
    <font>
      <sz val="10"/>
      <name val="Garamond"/>
      <family val="1"/>
    </font>
    <font>
      <sz val="11"/>
      <color theme="1"/>
      <name val="Garamond"/>
      <family val="1"/>
    </font>
    <font>
      <sz val="11"/>
      <name val="Garamond"/>
      <family val="1"/>
    </font>
    <font>
      <b/>
      <sz val="12"/>
      <color theme="1"/>
      <name val="Garamond"/>
      <family val="1"/>
    </font>
    <font>
      <b/>
      <sz val="11"/>
      <color theme="1"/>
      <name val="Garamond"/>
      <family val="1"/>
    </font>
    <font>
      <sz val="10"/>
      <name val="Arial"/>
      <family val="2"/>
    </font>
    <font>
      <sz val="9"/>
      <color theme="1"/>
      <name val="Garamond"/>
      <family val="1"/>
    </font>
    <font>
      <sz val="10"/>
      <color theme="1"/>
      <name val="Garamond"/>
      <family val="1"/>
    </font>
    <font>
      <sz val="11"/>
      <color theme="1"/>
      <name val="Calibri"/>
      <family val="2"/>
      <scheme val="minor"/>
    </font>
    <font>
      <i/>
      <sz val="11"/>
      <color theme="1"/>
      <name val="Calibri"/>
      <family val="2"/>
      <scheme val="minor"/>
    </font>
    <font>
      <sz val="12"/>
      <color theme="1"/>
      <name val="Garamond"/>
      <family val="1"/>
    </font>
    <font>
      <b/>
      <sz val="14"/>
      <color theme="1"/>
      <name val="Calibri"/>
      <family val="2"/>
      <scheme val="minor"/>
    </font>
    <font>
      <b/>
      <sz val="14"/>
      <color theme="1"/>
      <name val="Garamond"/>
      <family val="1"/>
    </font>
    <font>
      <sz val="12"/>
      <color theme="1"/>
      <name val="Calibri"/>
      <family val="2"/>
      <scheme val="minor"/>
    </font>
    <font>
      <b/>
      <u/>
      <sz val="11"/>
      <color theme="1"/>
      <name val="Calibri"/>
      <family val="2"/>
      <scheme val="minor"/>
    </font>
    <font>
      <u/>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sz val="11"/>
      <color indexed="8"/>
      <name val="Calibri"/>
      <family val="2"/>
    </font>
    <font>
      <b/>
      <sz val="11"/>
      <color indexed="8"/>
      <name val="Garamond"/>
      <family val="1"/>
    </font>
    <font>
      <sz val="11"/>
      <color indexed="8"/>
      <name val="Garamond"/>
      <family val="1"/>
    </font>
    <font>
      <sz val="10"/>
      <color indexed="8"/>
      <name val="Garamond"/>
      <family val="1"/>
    </font>
    <font>
      <b/>
      <sz val="11"/>
      <color theme="0"/>
      <name val="Calibri"/>
      <family val="2"/>
      <scheme val="minor"/>
    </font>
    <font>
      <sz val="11"/>
      <color theme="0"/>
      <name val="Calibri"/>
      <family val="2"/>
      <scheme val="minor"/>
    </font>
    <font>
      <b/>
      <sz val="11"/>
      <color theme="0"/>
      <name val="Calibri"/>
      <family val="2"/>
    </font>
    <font>
      <sz val="11"/>
      <color theme="0"/>
      <name val="Garamond"/>
      <family val="1"/>
    </font>
    <font>
      <b/>
      <sz val="11"/>
      <color theme="0"/>
      <name val="Garamond"/>
      <family val="1"/>
    </font>
    <font>
      <b/>
      <sz val="12"/>
      <color theme="0"/>
      <name val="Garamond"/>
      <family val="1"/>
    </font>
    <font>
      <sz val="10"/>
      <color theme="0"/>
      <name val="Garamond"/>
      <family val="1"/>
    </font>
    <font>
      <b/>
      <sz val="14"/>
      <color theme="0"/>
      <name val="Garamond"/>
      <family val="1"/>
    </font>
    <font>
      <sz val="12"/>
      <color theme="0"/>
      <name val="Garamond"/>
      <family val="1"/>
    </font>
    <font>
      <b/>
      <sz val="10"/>
      <color theme="1"/>
      <name val="Garamond"/>
      <family val="1"/>
    </font>
    <font>
      <b/>
      <sz val="10"/>
      <color theme="1"/>
      <name val="Calibri"/>
      <family val="2"/>
      <scheme val="minor"/>
    </font>
    <font>
      <b/>
      <sz val="8"/>
      <color theme="0"/>
      <name val="Garamond"/>
      <family val="1"/>
    </font>
    <font>
      <b/>
      <sz val="10"/>
      <color theme="0"/>
      <name val="Garamond"/>
      <family val="1"/>
    </font>
    <font>
      <sz val="10"/>
      <color theme="1"/>
      <name val="Arial Unicode MS"/>
      <family val="2"/>
    </font>
    <font>
      <sz val="11"/>
      <color rgb="FFFF0000"/>
      <name val="Garamond"/>
      <family val="1"/>
    </font>
    <font>
      <sz val="9"/>
      <color indexed="81"/>
      <name val="Tahoma"/>
      <charset val="1"/>
    </font>
    <font>
      <b/>
      <sz val="9"/>
      <color indexed="81"/>
      <name val="Tahoma"/>
      <charset val="1"/>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theme="1"/>
        <bgColor indexed="64"/>
      </patternFill>
    </fill>
    <fill>
      <patternFill patternType="solid">
        <fgColor indexed="22"/>
        <bgColor indexed="64"/>
      </patternFill>
    </fill>
    <fill>
      <patternFill patternType="solid">
        <fgColor indexed="9"/>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3"/>
      </left>
      <right style="medium">
        <color indexed="63"/>
      </right>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auto="1"/>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auto="1"/>
      </left>
      <right style="thin">
        <color auto="1"/>
      </right>
      <top style="medium">
        <color auto="1"/>
      </top>
      <bottom style="thin">
        <color auto="1"/>
      </bottom>
      <diagonal/>
    </border>
    <border>
      <left style="medium">
        <color auto="1"/>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thin">
        <color indexed="64"/>
      </left>
      <right/>
      <top/>
      <bottom style="medium">
        <color indexed="64"/>
      </bottom>
      <diagonal/>
    </border>
    <border>
      <left style="thin">
        <color theme="0"/>
      </left>
      <right style="thin">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right style="medium">
        <color theme="0"/>
      </right>
      <top style="medium">
        <color indexed="64"/>
      </top>
      <bottom style="medium">
        <color indexed="64"/>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thin">
        <color indexed="64"/>
      </left>
      <right style="thin">
        <color theme="0"/>
      </right>
      <top/>
      <bottom/>
      <diagonal/>
    </border>
    <border>
      <left/>
      <right style="thin">
        <color theme="0"/>
      </right>
      <top style="medium">
        <color indexed="64"/>
      </top>
      <bottom/>
      <diagonal/>
    </border>
    <border>
      <left/>
      <right style="thin">
        <color theme="0"/>
      </right>
      <top style="medium">
        <color indexed="64"/>
      </top>
      <bottom style="thin">
        <color indexed="64"/>
      </bottom>
      <diagonal/>
    </border>
    <border>
      <left/>
      <right style="thin">
        <color theme="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auto="1"/>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auto="1"/>
      </left>
      <right style="medium">
        <color theme="0"/>
      </right>
      <top style="thin">
        <color indexed="64"/>
      </top>
      <bottom/>
      <diagonal/>
    </border>
    <border>
      <left style="medium">
        <color theme="0"/>
      </left>
      <right style="medium">
        <color theme="0"/>
      </right>
      <top style="thin">
        <color indexed="64"/>
      </top>
      <bottom/>
      <diagonal/>
    </border>
    <border>
      <left style="medium">
        <color theme="0"/>
      </left>
      <right style="medium">
        <color indexed="64"/>
      </right>
      <top style="thin">
        <color indexed="64"/>
      </top>
      <bottom/>
      <diagonal/>
    </border>
    <border>
      <left style="medium">
        <color indexed="64"/>
      </left>
      <right style="medium">
        <color theme="0"/>
      </right>
      <top style="medium">
        <color indexed="64"/>
      </top>
      <bottom style="thin">
        <color indexed="64"/>
      </bottom>
      <diagonal/>
    </border>
    <border>
      <left style="medium">
        <color theme="0"/>
      </left>
      <right style="medium">
        <color theme="0"/>
      </right>
      <top style="medium">
        <color indexed="64"/>
      </top>
      <bottom style="thin">
        <color indexed="64"/>
      </bottom>
      <diagonal/>
    </border>
    <border>
      <left style="medium">
        <color theme="0"/>
      </left>
      <right style="medium">
        <color indexed="64"/>
      </right>
      <top style="medium">
        <color indexed="64"/>
      </top>
      <bottom style="thin">
        <color indexed="64"/>
      </bottom>
      <diagonal/>
    </border>
    <border>
      <left style="thin">
        <color auto="1"/>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style="medium">
        <color theme="0"/>
      </left>
      <right/>
      <top style="medium">
        <color indexed="64"/>
      </top>
      <bottom style="medium">
        <color indexed="64"/>
      </bottom>
      <diagonal/>
    </border>
    <border>
      <left/>
      <right style="medium">
        <color theme="0"/>
      </right>
      <top/>
      <bottom style="medium">
        <color indexed="64"/>
      </bottom>
      <diagonal/>
    </border>
    <border>
      <left style="medium">
        <color theme="0"/>
      </left>
      <right/>
      <top/>
      <bottom style="thin">
        <color indexed="64"/>
      </bottom>
      <diagonal/>
    </border>
    <border>
      <left style="medium">
        <color theme="0"/>
      </left>
      <right style="medium">
        <color theme="0"/>
      </right>
      <top/>
      <bottom style="thin">
        <color indexed="64"/>
      </bottom>
      <diagonal/>
    </border>
    <border>
      <left style="medium">
        <color theme="0"/>
      </left>
      <right style="thin">
        <color indexed="64"/>
      </right>
      <top style="medium">
        <color indexed="64"/>
      </top>
      <bottom style="thin">
        <color indexed="64"/>
      </bottom>
      <diagonal/>
    </border>
    <border>
      <left style="thin">
        <color theme="0"/>
      </left>
      <right/>
      <top style="medium">
        <color indexed="64"/>
      </top>
      <bottom style="medium">
        <color indexed="64"/>
      </bottom>
      <diagonal/>
    </border>
  </borders>
  <cellStyleXfs count="5">
    <xf numFmtId="0" fontId="0" fillId="0" borderId="0"/>
    <xf numFmtId="0" fontId="5" fillId="0" borderId="17"/>
    <xf numFmtId="0" fontId="10" fillId="0" borderId="0"/>
    <xf numFmtId="0" fontId="10" fillId="0" borderId="0"/>
    <xf numFmtId="43" fontId="13" fillId="0" borderId="0" applyFont="0" applyFill="0" applyBorder="0" applyAlignment="0" applyProtection="0"/>
  </cellStyleXfs>
  <cellXfs count="952">
    <xf numFmtId="0" fontId="0" fillId="0" borderId="0" xfId="0"/>
    <xf numFmtId="0" fontId="2" fillId="0" borderId="6" xfId="0" applyFont="1" applyFill="1" applyBorder="1"/>
    <xf numFmtId="0" fontId="2" fillId="0" borderId="3" xfId="0" applyFont="1" applyFill="1" applyBorder="1"/>
    <xf numFmtId="0" fontId="6" fillId="0" borderId="0" xfId="0" applyFont="1" applyFill="1"/>
    <xf numFmtId="0" fontId="6" fillId="0" borderId="0" xfId="0" applyFont="1" applyFill="1" applyBorder="1"/>
    <xf numFmtId="0" fontId="9" fillId="0" borderId="1" xfId="0" applyFont="1" applyFill="1" applyBorder="1"/>
    <xf numFmtId="0" fontId="0" fillId="0" borderId="0" xfId="0" applyAlignment="1">
      <alignment horizontal="center"/>
    </xf>
    <xf numFmtId="0" fontId="1" fillId="0" borderId="0" xfId="0" applyFont="1" applyBorder="1"/>
    <xf numFmtId="0" fontId="0" fillId="0" borderId="0" xfId="0" applyBorder="1" applyAlignment="1">
      <alignment horizontal="center"/>
    </xf>
    <xf numFmtId="0" fontId="0" fillId="0" borderId="0" xfId="0" applyBorder="1"/>
    <xf numFmtId="0" fontId="1" fillId="0" borderId="15" xfId="0" applyFont="1" applyBorder="1"/>
    <xf numFmtId="0" fontId="1" fillId="0" borderId="15" xfId="0" applyFont="1" applyBorder="1" applyAlignment="1">
      <alignment horizontal="center"/>
    </xf>
    <xf numFmtId="0" fontId="1" fillId="0" borderId="15" xfId="0" applyFont="1" applyBorder="1" applyAlignment="1">
      <alignment horizontal="center" textRotation="90"/>
    </xf>
    <xf numFmtId="0" fontId="0" fillId="0" borderId="2" xfId="0" applyBorder="1"/>
    <xf numFmtId="0" fontId="1" fillId="0" borderId="6" xfId="0" applyFont="1" applyBorder="1"/>
    <xf numFmtId="0" fontId="0" fillId="0" borderId="7" xfId="0" applyBorder="1" applyAlignment="1">
      <alignment horizontal="center"/>
    </xf>
    <xf numFmtId="0" fontId="1" fillId="0" borderId="8" xfId="0" applyFont="1" applyBorder="1"/>
    <xf numFmtId="0" fontId="0" fillId="0" borderId="9" xfId="0" applyBorder="1"/>
    <xf numFmtId="0" fontId="0" fillId="0" borderId="9" xfId="0" applyBorder="1" applyAlignment="1">
      <alignment horizontal="center"/>
    </xf>
    <xf numFmtId="0" fontId="1" fillId="0" borderId="0" xfId="0" applyFont="1" applyBorder="1" applyAlignment="1">
      <alignment horizontal="center" textRotation="90"/>
    </xf>
    <xf numFmtId="0" fontId="1" fillId="0" borderId="7" xfId="0" applyFont="1" applyBorder="1" applyAlignment="1">
      <alignment horizontal="center" textRotation="90"/>
    </xf>
    <xf numFmtId="0" fontId="1" fillId="0" borderId="3" xfId="0" applyFont="1" applyBorder="1"/>
    <xf numFmtId="0" fontId="1" fillId="0" borderId="4" xfId="0" applyFont="1" applyBorder="1"/>
    <xf numFmtId="0" fontId="1" fillId="0" borderId="4" xfId="0" applyFont="1" applyBorder="1" applyAlignment="1">
      <alignment horizontal="center" textRotation="90"/>
    </xf>
    <xf numFmtId="0" fontId="1" fillId="0" borderId="5" xfId="0" applyFont="1" applyBorder="1" applyAlignment="1">
      <alignment horizontal="center" textRotation="90"/>
    </xf>
    <xf numFmtId="0" fontId="1" fillId="0" borderId="0" xfId="0" applyFont="1" applyFill="1"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 fillId="0" borderId="6" xfId="0" applyFont="1" applyBorder="1" applyAlignment="1">
      <alignment horizontal="center" textRotation="90"/>
    </xf>
    <xf numFmtId="0" fontId="1" fillId="0" borderId="15" xfId="0" applyFont="1" applyFill="1" applyBorder="1" applyAlignment="1">
      <alignment horizontal="center"/>
    </xf>
    <xf numFmtId="0" fontId="1" fillId="0" borderId="16" xfId="0" applyFont="1" applyFill="1" applyBorder="1" applyAlignment="1">
      <alignment horizontal="center"/>
    </xf>
    <xf numFmtId="0" fontId="1" fillId="0" borderId="13" xfId="0" applyFont="1" applyBorder="1"/>
    <xf numFmtId="0" fontId="0" fillId="0" borderId="13" xfId="0" applyBorder="1" applyAlignment="1">
      <alignment horizontal="center"/>
    </xf>
    <xf numFmtId="0" fontId="0" fillId="0" borderId="14" xfId="0" applyBorder="1" applyAlignment="1">
      <alignment horizontal="center"/>
    </xf>
    <xf numFmtId="0" fontId="0" fillId="0" borderId="13" xfId="0" applyBorder="1"/>
    <xf numFmtId="0" fontId="0" fillId="0" borderId="23" xfId="0" applyBorder="1"/>
    <xf numFmtId="0" fontId="4" fillId="0" borderId="13" xfId="0" applyNumberFormat="1" applyFont="1" applyFill="1" applyBorder="1" applyAlignment="1">
      <alignment horizontal="center"/>
    </xf>
    <xf numFmtId="0" fontId="4" fillId="0" borderId="14" xfId="0" applyNumberFormat="1" applyFont="1" applyFill="1" applyBorder="1" applyAlignment="1">
      <alignment horizontal="center"/>
    </xf>
    <xf numFmtId="0" fontId="4" fillId="0" borderId="25" xfId="0" applyNumberFormat="1" applyFont="1" applyFill="1" applyBorder="1" applyAlignment="1">
      <alignment horizontal="center"/>
    </xf>
    <xf numFmtId="0" fontId="1" fillId="0" borderId="0" xfId="0" applyFont="1"/>
    <xf numFmtId="0" fontId="1" fillId="0" borderId="6" xfId="0" applyFont="1" applyFill="1" applyBorder="1" applyAlignment="1">
      <alignment horizontal="center"/>
    </xf>
    <xf numFmtId="0" fontId="0" fillId="0" borderId="8" xfId="0" applyBorder="1"/>
    <xf numFmtId="0" fontId="1" fillId="0" borderId="16" xfId="0" applyFont="1" applyBorder="1" applyAlignment="1">
      <alignment horizontal="center" textRotation="90"/>
    </xf>
    <xf numFmtId="0" fontId="1" fillId="0" borderId="18" xfId="0" applyFont="1" applyBorder="1"/>
    <xf numFmtId="0" fontId="0" fillId="0" borderId="7" xfId="0" applyFill="1" applyBorder="1" applyAlignment="1">
      <alignment horizontal="center"/>
    </xf>
    <xf numFmtId="0" fontId="0" fillId="0" borderId="10" xfId="0" applyFill="1" applyBorder="1" applyAlignment="1">
      <alignment horizontal="center"/>
    </xf>
    <xf numFmtId="0" fontId="6" fillId="0" borderId="0" xfId="0" applyFont="1" applyFill="1" applyAlignment="1">
      <alignment horizontal="center"/>
    </xf>
    <xf numFmtId="0" fontId="4" fillId="0" borderId="6" xfId="0" applyFont="1" applyFill="1" applyBorder="1"/>
    <xf numFmtId="0" fontId="7" fillId="0" borderId="6" xfId="0" applyFont="1" applyFill="1" applyBorder="1"/>
    <xf numFmtId="0" fontId="4" fillId="0" borderId="8" xfId="0" applyFont="1" applyFill="1" applyBorder="1"/>
    <xf numFmtId="0" fontId="0" fillId="0" borderId="13" xfId="0" applyFill="1" applyBorder="1" applyAlignment="1">
      <alignment horizontal="center"/>
    </xf>
    <xf numFmtId="0" fontId="0" fillId="0" borderId="13" xfId="0" applyFill="1" applyBorder="1"/>
    <xf numFmtId="0" fontId="11" fillId="0" borderId="0" xfId="0" applyFont="1" applyFill="1" applyAlignment="1">
      <alignment horizontal="right"/>
    </xf>
    <xf numFmtId="0" fontId="1" fillId="0" borderId="6" xfId="0" applyFont="1" applyBorder="1" applyAlignment="1">
      <alignment horizontal="center"/>
    </xf>
    <xf numFmtId="0" fontId="12" fillId="0" borderId="0" xfId="0" applyFont="1" applyFill="1" applyAlignment="1">
      <alignment horizontal="center"/>
    </xf>
    <xf numFmtId="0" fontId="1" fillId="0" borderId="0" xfId="0" applyFont="1" applyBorder="1" applyAlignment="1">
      <alignment horizontal="center"/>
    </xf>
    <xf numFmtId="0" fontId="0" fillId="0" borderId="7" xfId="0" applyBorder="1"/>
    <xf numFmtId="0" fontId="6" fillId="0" borderId="0" xfId="0" applyFont="1" applyFill="1" applyBorder="1" applyAlignment="1">
      <alignment horizontal="center"/>
    </xf>
    <xf numFmtId="0" fontId="6" fillId="0" borderId="0" xfId="0" applyFont="1" applyFill="1" applyBorder="1" applyAlignment="1">
      <alignment horizontal="left"/>
    </xf>
    <xf numFmtId="1" fontId="4" fillId="0" borderId="13" xfId="0" applyNumberFormat="1" applyFont="1" applyFill="1" applyBorder="1" applyAlignment="1">
      <alignment horizontal="center"/>
    </xf>
    <xf numFmtId="1" fontId="0" fillId="0" borderId="0" xfId="0" applyNumberFormat="1" applyBorder="1" applyAlignment="1">
      <alignment horizontal="center"/>
    </xf>
    <xf numFmtId="1" fontId="0" fillId="0" borderId="9" xfId="0" applyNumberFormat="1" applyBorder="1" applyAlignment="1">
      <alignment horizontal="center"/>
    </xf>
    <xf numFmtId="0" fontId="6" fillId="0" borderId="0" xfId="0" applyFont="1" applyFill="1" applyBorder="1" applyAlignment="1">
      <alignment horizontal="center"/>
    </xf>
    <xf numFmtId="0" fontId="6" fillId="0" borderId="2" xfId="0" applyFont="1" applyFill="1" applyBorder="1" applyAlignment="1">
      <alignment horizontal="center"/>
    </xf>
    <xf numFmtId="0" fontId="6" fillId="0" borderId="11" xfId="0" applyFont="1" applyFill="1" applyBorder="1" applyAlignment="1">
      <alignment horizontal="center"/>
    </xf>
    <xf numFmtId="0" fontId="9" fillId="0" borderId="19" xfId="0" applyFont="1" applyFill="1" applyBorder="1" applyAlignment="1">
      <alignment horizontal="center"/>
    </xf>
    <xf numFmtId="0" fontId="1" fillId="0" borderId="18" xfId="0" applyFont="1" applyBorder="1" applyAlignment="1">
      <alignment horizontal="center" textRotation="90"/>
    </xf>
    <xf numFmtId="0" fontId="0" fillId="0" borderId="15" xfId="0" applyBorder="1"/>
    <xf numFmtId="0" fontId="0" fillId="0" borderId="12" xfId="0" applyFill="1" applyBorder="1" applyAlignment="1">
      <alignment horizontal="center"/>
    </xf>
    <xf numFmtId="0" fontId="14" fillId="0" borderId="13" xfId="0" applyFont="1" applyBorder="1" applyAlignment="1">
      <alignment horizontal="center"/>
    </xf>
    <xf numFmtId="0" fontId="1" fillId="0" borderId="23" xfId="0" applyFont="1" applyBorder="1"/>
    <xf numFmtId="0" fontId="6" fillId="0" borderId="0" xfId="0" applyFont="1" applyBorder="1" applyAlignment="1">
      <alignment horizontal="center"/>
    </xf>
    <xf numFmtId="0" fontId="6" fillId="0" borderId="0" xfId="0" applyFont="1" applyBorder="1"/>
    <xf numFmtId="0" fontId="6" fillId="0" borderId="7" xfId="0" applyFont="1" applyBorder="1" applyAlignment="1">
      <alignment horizontal="center"/>
    </xf>
    <xf numFmtId="0" fontId="6" fillId="0" borderId="9" xfId="0" applyFont="1" applyBorder="1" applyAlignment="1">
      <alignment horizontal="center"/>
    </xf>
    <xf numFmtId="0" fontId="6" fillId="0" borderId="9" xfId="0" applyFont="1" applyBorder="1"/>
    <xf numFmtId="0" fontId="6" fillId="0" borderId="10" xfId="0" applyFont="1" applyBorder="1" applyAlignment="1">
      <alignment horizontal="center"/>
    </xf>
    <xf numFmtId="0" fontId="17" fillId="0" borderId="0" xfId="0" applyFont="1" applyBorder="1"/>
    <xf numFmtId="0" fontId="6" fillId="0" borderId="29" xfId="0" applyFont="1" applyBorder="1" applyAlignment="1">
      <alignment horizontal="center"/>
    </xf>
    <xf numFmtId="0" fontId="6" fillId="0" borderId="30" xfId="0" applyFont="1" applyBorder="1" applyAlignment="1">
      <alignment horizontal="center"/>
    </xf>
    <xf numFmtId="0" fontId="9" fillId="0" borderId="12" xfId="0" applyFont="1" applyBorder="1"/>
    <xf numFmtId="0" fontId="9" fillId="0" borderId="13" xfId="0" applyFont="1" applyBorder="1" applyAlignment="1">
      <alignment horizontal="center"/>
    </xf>
    <xf numFmtId="0" fontId="9" fillId="0" borderId="21" xfId="0" applyFont="1" applyBorder="1" applyAlignment="1">
      <alignment horizontal="center"/>
    </xf>
    <xf numFmtId="0" fontId="9" fillId="0" borderId="13" xfId="0" applyFont="1" applyBorder="1"/>
    <xf numFmtId="0" fontId="9" fillId="0" borderId="14" xfId="0" applyFont="1" applyBorder="1" applyAlignment="1">
      <alignment horizontal="center"/>
    </xf>
    <xf numFmtId="0" fontId="15" fillId="0" borderId="6" xfId="0" applyFont="1" applyBorder="1"/>
    <xf numFmtId="0" fontId="15" fillId="0" borderId="0" xfId="0" applyFont="1" applyBorder="1" applyAlignment="1">
      <alignment horizontal="center"/>
    </xf>
    <xf numFmtId="0" fontId="15" fillId="0" borderId="18" xfId="0" applyFont="1" applyBorder="1"/>
    <xf numFmtId="0" fontId="15" fillId="0" borderId="0" xfId="0" applyFont="1" applyBorder="1"/>
    <xf numFmtId="0" fontId="15" fillId="0" borderId="43" xfId="0" applyFont="1" applyBorder="1"/>
    <xf numFmtId="0" fontId="15" fillId="0" borderId="8" xfId="0" applyFont="1" applyBorder="1"/>
    <xf numFmtId="0" fontId="15" fillId="0" borderId="9" xfId="0" applyFont="1" applyBorder="1" applyAlignment="1">
      <alignment horizontal="center"/>
    </xf>
    <xf numFmtId="0" fontId="6" fillId="3" borderId="35" xfId="0" applyFont="1" applyFill="1" applyBorder="1" applyAlignment="1">
      <alignment horizontal="center" vertical="center"/>
    </xf>
    <xf numFmtId="0" fontId="6" fillId="0" borderId="34" xfId="0" applyFont="1" applyFill="1" applyBorder="1" applyAlignment="1">
      <alignment horizontal="center" vertical="center"/>
    </xf>
    <xf numFmtId="0" fontId="0" fillId="0" borderId="10" xfId="0" applyBorder="1"/>
    <xf numFmtId="0" fontId="6" fillId="0" borderId="6" xfId="0" applyFont="1" applyBorder="1" applyAlignment="1"/>
    <xf numFmtId="0" fontId="6" fillId="0" borderId="8" xfId="0" applyFont="1" applyBorder="1" applyAlignment="1"/>
    <xf numFmtId="0" fontId="15" fillId="0" borderId="15" xfId="0" applyFont="1" applyBorder="1" applyAlignment="1">
      <alignment horizontal="center"/>
    </xf>
    <xf numFmtId="0" fontId="6" fillId="0" borderId="20" xfId="0" applyFont="1" applyBorder="1" applyAlignment="1">
      <alignment horizontal="center"/>
    </xf>
    <xf numFmtId="0" fontId="6" fillId="0" borderId="16" xfId="0" applyFont="1" applyBorder="1" applyAlignment="1">
      <alignment horizontal="center"/>
    </xf>
    <xf numFmtId="0" fontId="1" fillId="0" borderId="0" xfId="0" applyFont="1" applyBorder="1" applyAlignment="1">
      <alignment horizontal="left"/>
    </xf>
    <xf numFmtId="0" fontId="4" fillId="0" borderId="13" xfId="0" applyFont="1" applyFill="1" applyBorder="1" applyAlignment="1">
      <alignment horizontal="center" vertical="center"/>
    </xf>
    <xf numFmtId="0" fontId="15" fillId="0" borderId="13" xfId="0" applyFont="1" applyFill="1" applyBorder="1" applyAlignment="1">
      <alignment horizontal="center"/>
    </xf>
    <xf numFmtId="0" fontId="15" fillId="0" borderId="23" xfId="0" applyFont="1" applyFill="1" applyBorder="1" applyAlignment="1">
      <alignment horizontal="center"/>
    </xf>
    <xf numFmtId="0" fontId="15" fillId="0" borderId="14" xfId="0" applyFont="1" applyFill="1" applyBorder="1" applyAlignment="1">
      <alignment horizontal="center"/>
    </xf>
    <xf numFmtId="0" fontId="15" fillId="0" borderId="25" xfId="0" applyFont="1" applyFill="1" applyBorder="1" applyAlignment="1">
      <alignment horizontal="center"/>
    </xf>
    <xf numFmtId="0" fontId="2" fillId="5" borderId="21" xfId="0" applyFont="1" applyFill="1" applyBorder="1" applyAlignment="1">
      <alignment horizontal="center"/>
    </xf>
    <xf numFmtId="0" fontId="0" fillId="0" borderId="0" xfId="0" applyFill="1" applyBorder="1"/>
    <xf numFmtId="0" fontId="1" fillId="0" borderId="0" xfId="0" applyFont="1" applyFill="1" applyBorder="1"/>
    <xf numFmtId="0" fontId="0" fillId="0" borderId="60" xfId="0" applyBorder="1"/>
    <xf numFmtId="0" fontId="0" fillId="0" borderId="61" xfId="0" applyBorder="1"/>
    <xf numFmtId="0" fontId="0" fillId="0" borderId="34" xfId="0" applyBorder="1" applyAlignment="1">
      <alignment horizontal="center"/>
    </xf>
    <xf numFmtId="0" fontId="0" fillId="0" borderId="65" xfId="0" applyBorder="1" applyAlignment="1">
      <alignment horizontal="center" vertical="center" wrapText="1"/>
    </xf>
    <xf numFmtId="0" fontId="0" fillId="0" borderId="65" xfId="0" applyBorder="1"/>
    <xf numFmtId="0" fontId="0" fillId="0" borderId="64" xfId="0" applyBorder="1"/>
    <xf numFmtId="0" fontId="0" fillId="0" borderId="68" xfId="0" applyBorder="1"/>
    <xf numFmtId="0" fontId="1" fillId="0" borderId="69" xfId="0" applyFont="1" applyFill="1" applyBorder="1" applyAlignment="1">
      <alignment horizontal="left"/>
    </xf>
    <xf numFmtId="0" fontId="1" fillId="0" borderId="42" xfId="0" applyFont="1" applyFill="1" applyBorder="1" applyAlignment="1">
      <alignment horizontal="center" textRotation="90"/>
    </xf>
    <xf numFmtId="0" fontId="1" fillId="0" borderId="42" xfId="0" applyFont="1" applyBorder="1" applyAlignment="1">
      <alignment horizontal="center" textRotation="90"/>
    </xf>
    <xf numFmtId="0" fontId="1" fillId="0" borderId="47" xfId="0" applyFont="1" applyBorder="1" applyAlignment="1">
      <alignment horizontal="center" textRotation="90"/>
    </xf>
    <xf numFmtId="0" fontId="1" fillId="0" borderId="69" xfId="0" applyFont="1" applyBorder="1"/>
    <xf numFmtId="0" fontId="0" fillId="0" borderId="42" xfId="0" applyFill="1" applyBorder="1" applyAlignment="1">
      <alignment horizontal="center"/>
    </xf>
    <xf numFmtId="0" fontId="0" fillId="0" borderId="43" xfId="0" applyFill="1" applyBorder="1" applyAlignment="1">
      <alignment horizontal="center"/>
    </xf>
    <xf numFmtId="0" fontId="1" fillId="0" borderId="33" xfId="0" applyFont="1" applyBorder="1"/>
    <xf numFmtId="0" fontId="0" fillId="0" borderId="31" xfId="0" applyBorder="1" applyAlignment="1">
      <alignment horizontal="center"/>
    </xf>
    <xf numFmtId="0" fontId="1" fillId="0" borderId="53" xfId="0" applyFont="1" applyBorder="1"/>
    <xf numFmtId="0" fontId="0" fillId="0" borderId="45" xfId="0" applyBorder="1" applyAlignment="1">
      <alignment horizontal="center"/>
    </xf>
    <xf numFmtId="0" fontId="0" fillId="0" borderId="44" xfId="0" applyBorder="1" applyAlignment="1">
      <alignment horizontal="center"/>
    </xf>
    <xf numFmtId="0" fontId="1" fillId="0" borderId="70" xfId="0" applyFont="1" applyFill="1" applyBorder="1"/>
    <xf numFmtId="0" fontId="0" fillId="0" borderId="41" xfId="0" applyBorder="1"/>
    <xf numFmtId="0" fontId="0" fillId="0" borderId="21" xfId="0" applyFill="1" applyBorder="1" applyAlignment="1">
      <alignment horizontal="center"/>
    </xf>
    <xf numFmtId="0" fontId="0" fillId="0" borderId="24" xfId="0" applyFill="1" applyBorder="1" applyAlignment="1">
      <alignment horizontal="center"/>
    </xf>
    <xf numFmtId="0" fontId="1" fillId="0" borderId="68" xfId="0" applyFont="1" applyFill="1" applyBorder="1" applyAlignment="1">
      <alignment horizontal="center"/>
    </xf>
    <xf numFmtId="0" fontId="1" fillId="0" borderId="68" xfId="0" applyFont="1"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67" xfId="0" applyFont="1" applyBorder="1" applyAlignment="1">
      <alignment horizontal="center" textRotation="90"/>
    </xf>
    <xf numFmtId="0" fontId="1" fillId="0" borderId="56" xfId="0" applyFont="1" applyBorder="1" applyAlignment="1">
      <alignment horizontal="center" textRotation="90"/>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 fillId="0" borderId="68" xfId="0" applyFont="1" applyBorder="1"/>
    <xf numFmtId="0" fontId="0" fillId="0" borderId="13" xfId="0" quotePrefix="1" applyBorder="1" applyAlignment="1">
      <alignment horizontal="center"/>
    </xf>
    <xf numFmtId="0" fontId="0" fillId="0" borderId="0" xfId="0" applyBorder="1" applyAlignment="1">
      <alignment horizontal="center" vertical="center"/>
    </xf>
    <xf numFmtId="0" fontId="0" fillId="0" borderId="23" xfId="0" applyBorder="1" applyAlignment="1">
      <alignment horizontal="center"/>
    </xf>
    <xf numFmtId="0" fontId="0" fillId="0" borderId="2" xfId="0" applyBorder="1" applyAlignment="1">
      <alignment horizontal="center"/>
    </xf>
    <xf numFmtId="0" fontId="1" fillId="0" borderId="0" xfId="0" applyFont="1" applyBorder="1" applyAlignment="1">
      <alignment horizontal="center"/>
    </xf>
    <xf numFmtId="0" fontId="1" fillId="0" borderId="43" xfId="0" applyFont="1" applyBorder="1" applyAlignment="1">
      <alignment horizontal="center" textRotation="90"/>
    </xf>
    <xf numFmtId="0" fontId="1" fillId="0" borderId="20" xfId="0" applyFont="1" applyBorder="1" applyAlignment="1">
      <alignment horizontal="center" textRotation="90"/>
    </xf>
    <xf numFmtId="1" fontId="0" fillId="0" borderId="66" xfId="0" applyNumberFormat="1" applyBorder="1" applyAlignment="1">
      <alignment horizontal="center"/>
    </xf>
    <xf numFmtId="1" fontId="0" fillId="0" borderId="29" xfId="0" applyNumberFormat="1" applyBorder="1" applyAlignment="1">
      <alignment horizontal="center"/>
    </xf>
    <xf numFmtId="1" fontId="0" fillId="0" borderId="74" xfId="0" applyNumberFormat="1" applyBorder="1" applyAlignment="1">
      <alignment horizontal="center"/>
    </xf>
    <xf numFmtId="1" fontId="0" fillId="0" borderId="30" xfId="0" applyNumberFormat="1" applyBorder="1" applyAlignment="1">
      <alignment horizontal="center"/>
    </xf>
    <xf numFmtId="0" fontId="0" fillId="0" borderId="2" xfId="0" applyBorder="1" applyAlignment="1">
      <alignment horizont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30" xfId="0" applyBorder="1" applyAlignment="1">
      <alignment horizontal="center"/>
    </xf>
    <xf numFmtId="0" fontId="1" fillId="0" borderId="55" xfId="0" applyFont="1" applyBorder="1" applyAlignment="1">
      <alignment horizontal="center" textRotation="90"/>
    </xf>
    <xf numFmtId="0" fontId="0" fillId="2" borderId="13" xfId="0" applyFill="1" applyBorder="1" applyProtection="1">
      <protection locked="0"/>
    </xf>
    <xf numFmtId="0" fontId="0" fillId="2" borderId="13" xfId="0" applyFill="1" applyBorder="1" applyAlignment="1" applyProtection="1">
      <alignment horizontal="left"/>
      <protection locked="0"/>
    </xf>
    <xf numFmtId="0" fontId="0" fillId="0" borderId="13" xfId="0" applyFill="1" applyBorder="1" applyProtection="1">
      <protection locked="0"/>
    </xf>
    <xf numFmtId="0" fontId="0" fillId="2" borderId="23" xfId="0" applyFill="1" applyBorder="1" applyProtection="1">
      <protection locked="0"/>
    </xf>
    <xf numFmtId="0" fontId="0" fillId="2" borderId="13"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2" borderId="23"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4" borderId="21"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4" borderId="3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0" fillId="4" borderId="37" xfId="0" applyFill="1" applyBorder="1" applyAlignment="1" applyProtection="1">
      <alignment horizontal="center" vertical="center"/>
      <protection locked="0"/>
    </xf>
    <xf numFmtId="0" fontId="0" fillId="4" borderId="72" xfId="0" applyFill="1" applyBorder="1" applyAlignment="1" applyProtection="1">
      <alignment horizontal="center" vertical="center"/>
      <protection locked="0"/>
    </xf>
    <xf numFmtId="0" fontId="0" fillId="0" borderId="13" xfId="0" applyBorder="1" applyProtection="1">
      <protection locked="0"/>
    </xf>
    <xf numFmtId="0" fontId="0" fillId="4" borderId="57" xfId="0" applyFill="1" applyBorder="1" applyAlignment="1" applyProtection="1">
      <alignment horizontal="center" vertical="center"/>
      <protection locked="0"/>
    </xf>
    <xf numFmtId="0" fontId="0" fillId="4" borderId="71" xfId="0" applyFill="1" applyBorder="1" applyAlignment="1" applyProtection="1">
      <alignment horizontal="center" vertical="center"/>
      <protection locked="0"/>
    </xf>
    <xf numFmtId="0" fontId="0" fillId="0" borderId="0" xfId="0" applyFill="1" applyBorder="1" applyAlignment="1">
      <alignment vertical="center"/>
    </xf>
    <xf numFmtId="0" fontId="1" fillId="0" borderId="0" xfId="0" applyFont="1" applyFill="1" applyBorder="1" applyAlignment="1">
      <alignment horizontal="center" textRotation="90"/>
    </xf>
    <xf numFmtId="0" fontId="0" fillId="0" borderId="0" xfId="0" applyFill="1" applyBorder="1" applyAlignment="1">
      <alignment horizontal="center" vertical="center"/>
    </xf>
    <xf numFmtId="0" fontId="0" fillId="0" borderId="34" xfId="0" applyBorder="1" applyAlignment="1" applyProtection="1">
      <alignment horizontal="center"/>
      <protection locked="0"/>
    </xf>
    <xf numFmtId="0" fontId="0" fillId="0" borderId="35" xfId="0" applyBorder="1" applyAlignment="1" applyProtection="1">
      <alignment horizontal="center"/>
      <protection locked="0"/>
    </xf>
    <xf numFmtId="0" fontId="0" fillId="4" borderId="34"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6" fillId="4" borderId="73" xfId="0" applyFont="1" applyFill="1" applyBorder="1" applyProtection="1">
      <protection locked="0"/>
    </xf>
    <xf numFmtId="0" fontId="6" fillId="4" borderId="72" xfId="0" applyFont="1" applyFill="1" applyBorder="1" applyProtection="1">
      <protection locked="0"/>
    </xf>
    <xf numFmtId="0" fontId="6" fillId="4" borderId="71" xfId="0" applyFont="1" applyFill="1" applyBorder="1" applyProtection="1">
      <protection locked="0"/>
    </xf>
    <xf numFmtId="0" fontId="6" fillId="4" borderId="42" xfId="0" applyFont="1" applyFill="1" applyBorder="1" applyAlignment="1" applyProtection="1">
      <alignment horizontal="center"/>
      <protection locked="0"/>
    </xf>
    <xf numFmtId="0" fontId="6" fillId="4" borderId="34" xfId="0" applyFont="1" applyFill="1" applyBorder="1" applyAlignment="1" applyProtection="1">
      <alignment horizontal="center"/>
      <protection locked="0"/>
    </xf>
    <xf numFmtId="0" fontId="6" fillId="4" borderId="45" xfId="0" applyFont="1" applyFill="1" applyBorder="1" applyAlignment="1" applyProtection="1">
      <alignment horizontal="center"/>
      <protection locked="0"/>
    </xf>
    <xf numFmtId="0" fontId="15" fillId="4" borderId="34" xfId="0" applyFont="1" applyFill="1" applyBorder="1" applyAlignment="1" applyProtection="1">
      <alignment horizontal="center" vertical="center"/>
      <protection locked="0"/>
    </xf>
    <xf numFmtId="0" fontId="4" fillId="2" borderId="13" xfId="0" applyNumberFormat="1" applyFont="1" applyFill="1" applyBorder="1" applyAlignment="1" applyProtection="1">
      <alignment horizontal="center"/>
      <protection locked="0"/>
    </xf>
    <xf numFmtId="0" fontId="4" fillId="2" borderId="23" xfId="0" applyNumberFormat="1" applyFont="1" applyFill="1" applyBorder="1" applyAlignment="1" applyProtection="1">
      <alignment horizontal="center"/>
      <protection locked="0"/>
    </xf>
    <xf numFmtId="0" fontId="6" fillId="2" borderId="13"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6" fillId="2" borderId="7" xfId="0" applyFont="1" applyFill="1" applyBorder="1" applyAlignment="1" applyProtection="1">
      <alignment horizontal="center"/>
      <protection locked="0"/>
    </xf>
    <xf numFmtId="0" fontId="6" fillId="2" borderId="30"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6" fillId="2" borderId="10" xfId="0" applyFont="1" applyFill="1" applyBorder="1" applyAlignment="1" applyProtection="1">
      <alignment horizontal="center"/>
      <protection locked="0"/>
    </xf>
    <xf numFmtId="0" fontId="2" fillId="0" borderId="68" xfId="0" applyFont="1" applyFill="1" applyBorder="1" applyAlignment="1" applyProtection="1">
      <alignment horizontal="left"/>
    </xf>
    <xf numFmtId="0" fontId="1" fillId="0" borderId="2" xfId="0" applyFont="1" applyBorder="1"/>
    <xf numFmtId="0" fontId="1" fillId="0" borderId="11" xfId="0" applyFont="1" applyBorder="1"/>
    <xf numFmtId="0" fontId="1" fillId="0" borderId="9" xfId="0" applyFont="1" applyBorder="1"/>
    <xf numFmtId="0" fontId="1" fillId="4" borderId="53" xfId="0" applyFont="1" applyFill="1" applyBorder="1" applyAlignment="1" applyProtection="1">
      <alignment horizontal="center" textRotation="90"/>
      <protection locked="0"/>
    </xf>
    <xf numFmtId="0" fontId="0" fillId="4" borderId="58" xfId="0" applyFill="1" applyBorder="1" applyAlignment="1" applyProtection="1">
      <alignment horizontal="center"/>
      <protection locked="0"/>
    </xf>
    <xf numFmtId="0" fontId="0" fillId="4" borderId="62" xfId="0" applyFill="1" applyBorder="1" applyAlignment="1" applyProtection="1">
      <alignment horizontal="center"/>
      <protection locked="0"/>
    </xf>
    <xf numFmtId="0" fontId="0" fillId="4" borderId="34" xfId="0" applyFill="1" applyBorder="1" applyProtection="1">
      <protection locked="0"/>
    </xf>
    <xf numFmtId="0" fontId="0" fillId="4" borderId="37" xfId="0" applyFill="1" applyBorder="1" applyProtection="1">
      <protection locked="0"/>
    </xf>
    <xf numFmtId="0" fontId="0" fillId="4" borderId="37" xfId="0" applyFill="1" applyBorder="1" applyAlignment="1" applyProtection="1">
      <alignment horizontal="center"/>
      <protection locked="0"/>
    </xf>
    <xf numFmtId="0" fontId="0" fillId="4" borderId="38" xfId="0" applyFill="1" applyBorder="1" applyAlignment="1" applyProtection="1">
      <alignment horizontal="center"/>
      <protection locked="0"/>
    </xf>
    <xf numFmtId="49" fontId="0" fillId="0" borderId="0" xfId="0" applyNumberFormat="1"/>
    <xf numFmtId="0" fontId="0" fillId="0" borderId="1" xfId="0" applyBorder="1"/>
    <xf numFmtId="0" fontId="0" fillId="0" borderId="26" xfId="0" applyBorder="1"/>
    <xf numFmtId="0" fontId="0" fillId="0" borderId="15" xfId="0" applyBorder="1" applyAlignment="1">
      <alignment horizontal="center"/>
    </xf>
    <xf numFmtId="0" fontId="0" fillId="0" borderId="26" xfId="0" applyBorder="1" applyAlignment="1">
      <alignment horizontal="center"/>
    </xf>
    <xf numFmtId="0" fontId="26" fillId="4" borderId="34" xfId="0" quotePrefix="1" applyFont="1" applyFill="1" applyBorder="1" applyAlignment="1" applyProtection="1">
      <alignment horizontal="center"/>
      <protection locked="0"/>
    </xf>
    <xf numFmtId="0" fontId="30" fillId="6" borderId="40" xfId="0" applyFont="1" applyFill="1" applyBorder="1" applyAlignment="1"/>
    <xf numFmtId="49" fontId="30" fillId="6" borderId="40" xfId="0" applyNumberFormat="1" applyFont="1" applyFill="1" applyBorder="1" applyAlignment="1"/>
    <xf numFmtId="0" fontId="29" fillId="6" borderId="40" xfId="0" applyFont="1" applyFill="1" applyBorder="1"/>
    <xf numFmtId="0" fontId="29" fillId="6" borderId="41" xfId="0" applyFont="1" applyFill="1" applyBorder="1"/>
    <xf numFmtId="0" fontId="30" fillId="6" borderId="75" xfId="0" applyFont="1" applyFill="1" applyBorder="1" applyAlignment="1"/>
    <xf numFmtId="0" fontId="30" fillId="6" borderId="75" xfId="0" applyFont="1" applyFill="1" applyBorder="1" applyAlignment="1">
      <alignment horizontal="center"/>
    </xf>
    <xf numFmtId="0" fontId="32" fillId="6" borderId="76" xfId="0" applyFont="1" applyFill="1" applyBorder="1"/>
    <xf numFmtId="0" fontId="32" fillId="6" borderId="76" xfId="0" applyFont="1" applyFill="1" applyBorder="1" applyAlignment="1">
      <alignment horizontal="center"/>
    </xf>
    <xf numFmtId="0" fontId="1" fillId="0" borderId="39" xfId="0" applyFont="1" applyBorder="1"/>
    <xf numFmtId="0" fontId="0" fillId="0" borderId="40" xfId="0" applyBorder="1"/>
    <xf numFmtId="0" fontId="0" fillId="0" borderId="0" xfId="0" applyFill="1" applyBorder="1" applyAlignment="1">
      <alignment horizontal="center"/>
    </xf>
    <xf numFmtId="0" fontId="0" fillId="0" borderId="65" xfId="0" applyFill="1"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1" fillId="0" borderId="2" xfId="0" applyFont="1" applyBorder="1" applyAlignment="1">
      <alignment horizontal="center"/>
    </xf>
    <xf numFmtId="0" fontId="1" fillId="0" borderId="0" xfId="0" applyFont="1" applyBorder="1" applyAlignment="1">
      <alignment horizontal="center"/>
    </xf>
    <xf numFmtId="0" fontId="24" fillId="0" borderId="3" xfId="0" applyFont="1" applyBorder="1"/>
    <xf numFmtId="0" fontId="24" fillId="0" borderId="4" xfId="0" applyFont="1" applyBorder="1"/>
    <xf numFmtId="0" fontId="24" fillId="0" borderId="4" xfId="0" applyFont="1" applyFill="1" applyBorder="1" applyAlignment="1">
      <alignment horizontal="center" wrapText="1"/>
    </xf>
    <xf numFmtId="0" fontId="24" fillId="0" borderId="4" xfId="0" applyFont="1" applyBorder="1" applyAlignment="1">
      <alignment horizontal="center" textRotation="90"/>
    </xf>
    <xf numFmtId="0" fontId="24" fillId="0" borderId="5" xfId="0" applyFont="1" applyBorder="1" applyAlignment="1">
      <alignment horizontal="center" textRotation="90"/>
    </xf>
    <xf numFmtId="0" fontId="24" fillId="0" borderId="68" xfId="0" applyFont="1" applyBorder="1"/>
    <xf numFmtId="0" fontId="24" fillId="0" borderId="0" xfId="0" applyFont="1" applyBorder="1"/>
    <xf numFmtId="0" fontId="0" fillId="0" borderId="27" xfId="0" applyBorder="1" applyAlignment="1">
      <alignment horizontal="center"/>
    </xf>
    <xf numFmtId="0" fontId="24" fillId="0" borderId="8" xfId="0" applyFont="1" applyBorder="1"/>
    <xf numFmtId="0" fontId="26" fillId="0" borderId="33" xfId="0" applyFont="1" applyFill="1" applyBorder="1"/>
    <xf numFmtId="0" fontId="26" fillId="0" borderId="34" xfId="0" applyFont="1" applyFill="1" applyBorder="1" applyAlignment="1">
      <alignment horizontal="center"/>
    </xf>
    <xf numFmtId="0" fontId="26" fillId="8" borderId="45" xfId="0" applyFont="1" applyFill="1" applyBorder="1" applyAlignment="1"/>
    <xf numFmtId="0" fontId="0" fillId="8" borderId="45" xfId="0" applyFill="1" applyBorder="1" applyAlignment="1"/>
    <xf numFmtId="0" fontId="26" fillId="0" borderId="66" xfId="0" applyFont="1" applyFill="1" applyBorder="1" applyAlignment="1"/>
    <xf numFmtId="0" fontId="26" fillId="0" borderId="53" xfId="0" applyFont="1" applyFill="1" applyBorder="1"/>
    <xf numFmtId="0" fontId="26" fillId="0" borderId="2" xfId="0" applyFont="1" applyFill="1" applyBorder="1"/>
    <xf numFmtId="0" fontId="26" fillId="0" borderId="0" xfId="0" applyFont="1" applyFill="1" applyBorder="1"/>
    <xf numFmtId="0" fontId="26" fillId="8" borderId="37" xfId="0" applyFont="1" applyFill="1" applyBorder="1" applyAlignment="1">
      <alignment horizontal="center"/>
    </xf>
    <xf numFmtId="0" fontId="26" fillId="0" borderId="37" xfId="0" applyFont="1" applyFill="1" applyBorder="1" applyAlignment="1">
      <alignment horizontal="center"/>
    </xf>
    <xf numFmtId="0" fontId="4" fillId="5" borderId="0" xfId="0" applyFont="1" applyFill="1" applyBorder="1" applyAlignment="1" applyProtection="1">
      <alignment horizontal="center"/>
    </xf>
    <xf numFmtId="0" fontId="6" fillId="0" borderId="0" xfId="0" applyFont="1" applyBorder="1" applyAlignment="1"/>
    <xf numFmtId="0" fontId="33" fillId="5" borderId="0" xfId="0" applyFont="1" applyFill="1" applyBorder="1" applyAlignment="1">
      <alignment horizontal="center"/>
    </xf>
    <xf numFmtId="0" fontId="32" fillId="5" borderId="0" xfId="0" applyFont="1" applyFill="1" applyBorder="1" applyAlignment="1">
      <alignment horizontal="center"/>
    </xf>
    <xf numFmtId="9" fontId="6" fillId="5" borderId="0" xfId="0" applyNumberFormat="1" applyFont="1" applyFill="1" applyBorder="1" applyAlignment="1">
      <alignment horizontal="center"/>
    </xf>
    <xf numFmtId="1" fontId="4" fillId="5" borderId="0" xfId="0" applyNumberFormat="1" applyFont="1" applyFill="1" applyBorder="1" applyAlignment="1">
      <alignment horizontal="center"/>
    </xf>
    <xf numFmtId="0" fontId="0" fillId="5" borderId="0" xfId="0" applyFill="1" applyBorder="1" applyAlignment="1"/>
    <xf numFmtId="0" fontId="0" fillId="0" borderId="0" xfId="0" applyBorder="1" applyAlignment="1">
      <alignment wrapText="1"/>
    </xf>
    <xf numFmtId="0" fontId="24" fillId="0" borderId="68" xfId="0" applyFont="1" applyBorder="1" applyAlignment="1">
      <alignment horizontal="center" vertical="top"/>
    </xf>
    <xf numFmtId="0" fontId="24" fillId="0" borderId="0" xfId="0" applyFont="1" applyFill="1" applyBorder="1" applyAlignment="1">
      <alignment wrapText="1"/>
    </xf>
    <xf numFmtId="0" fontId="1" fillId="0" borderId="68" xfId="0" applyFont="1" applyBorder="1" applyAlignment="1">
      <alignment horizontal="center" vertical="top"/>
    </xf>
    <xf numFmtId="0" fontId="24" fillId="0" borderId="0" xfId="0" applyFont="1" applyBorder="1" applyAlignment="1">
      <alignment horizontal="center" vertical="top"/>
    </xf>
    <xf numFmtId="0" fontId="0" fillId="0" borderId="0" xfId="0" applyAlignment="1">
      <alignment wrapText="1"/>
    </xf>
    <xf numFmtId="1" fontId="5" fillId="0" borderId="23" xfId="0" applyNumberFormat="1" applyFont="1" applyFill="1" applyBorder="1" applyAlignment="1">
      <alignment horizontal="center"/>
    </xf>
    <xf numFmtId="1" fontId="5" fillId="0" borderId="13" xfId="0" applyNumberFormat="1" applyFont="1" applyFill="1" applyBorder="1" applyAlignment="1">
      <alignment horizontal="center"/>
    </xf>
    <xf numFmtId="0" fontId="4" fillId="5" borderId="0" xfId="0" applyFont="1" applyFill="1" applyBorder="1" applyAlignment="1">
      <alignment horizontal="center"/>
    </xf>
    <xf numFmtId="0" fontId="7" fillId="0" borderId="0" xfId="0" applyFont="1" applyFill="1" applyBorder="1" applyAlignment="1" applyProtection="1">
      <alignment horizontal="center"/>
      <protection locked="0"/>
    </xf>
    <xf numFmtId="0" fontId="15" fillId="0" borderId="0" xfId="0" applyFont="1" applyFill="1" applyBorder="1" applyAlignment="1">
      <alignment horizontal="center"/>
    </xf>
    <xf numFmtId="0" fontId="0" fillId="0" borderId="0" xfId="0" applyFill="1" applyBorder="1" applyAlignment="1">
      <alignment wrapText="1"/>
    </xf>
    <xf numFmtId="0" fontId="0" fillId="0" borderId="0" xfId="0" applyBorder="1" applyAlignment="1">
      <alignment wrapText="1"/>
    </xf>
    <xf numFmtId="0" fontId="0" fillId="0" borderId="0" xfId="0" applyBorder="1" applyAlignment="1">
      <alignment horizontal="center"/>
    </xf>
    <xf numFmtId="0" fontId="1" fillId="0" borderId="0" xfId="0" applyFont="1" applyBorder="1" applyAlignment="1">
      <alignment horizontal="center"/>
    </xf>
    <xf numFmtId="0" fontId="9" fillId="0" borderId="0" xfId="0" applyFont="1" applyFill="1" applyBorder="1"/>
    <xf numFmtId="2" fontId="6" fillId="4" borderId="34" xfId="0" applyNumberFormat="1" applyFont="1" applyFill="1" applyBorder="1" applyProtection="1">
      <protection locked="0"/>
    </xf>
    <xf numFmtId="9" fontId="6" fillId="4" borderId="42" xfId="0" applyNumberFormat="1" applyFont="1" applyFill="1" applyBorder="1" applyProtection="1">
      <protection locked="0"/>
    </xf>
    <xf numFmtId="9" fontId="6" fillId="4" borderId="34" xfId="0" applyNumberFormat="1" applyFont="1" applyFill="1" applyBorder="1" applyProtection="1">
      <protection locked="0"/>
    </xf>
    <xf numFmtId="2" fontId="6" fillId="5" borderId="42" xfId="0" applyNumberFormat="1" applyFont="1" applyFill="1" applyBorder="1"/>
    <xf numFmtId="2" fontId="6" fillId="0" borderId="42" xfId="0" applyNumberFormat="1" applyFont="1" applyFill="1" applyBorder="1"/>
    <xf numFmtId="0" fontId="15" fillId="0" borderId="55" xfId="0" applyFont="1" applyFill="1" applyBorder="1" applyAlignment="1">
      <alignment horizontal="center"/>
    </xf>
    <xf numFmtId="0" fontId="2" fillId="0" borderId="52" xfId="0" applyFont="1" applyFill="1" applyBorder="1"/>
    <xf numFmtId="0" fontId="2" fillId="0" borderId="68" xfId="0" applyFont="1" applyFill="1" applyBorder="1"/>
    <xf numFmtId="0" fontId="2" fillId="0" borderId="29" xfId="0" applyFont="1" applyFill="1" applyBorder="1"/>
    <xf numFmtId="0" fontId="3" fillId="0" borderId="68" xfId="0" applyFont="1" applyFill="1" applyBorder="1"/>
    <xf numFmtId="0" fontId="3" fillId="0" borderId="29" xfId="0" applyFont="1" applyFill="1" applyBorder="1"/>
    <xf numFmtId="0" fontId="1" fillId="0" borderId="33" xfId="0" applyFont="1" applyFill="1" applyBorder="1" applyProtection="1">
      <protection locked="0"/>
    </xf>
    <xf numFmtId="0" fontId="1" fillId="0" borderId="36" xfId="0" applyFont="1" applyFill="1" applyBorder="1" applyProtection="1">
      <protection locked="0"/>
    </xf>
    <xf numFmtId="0" fontId="6" fillId="8" borderId="34" xfId="0" applyFont="1" applyFill="1" applyBorder="1" applyAlignment="1">
      <alignment horizontal="center"/>
    </xf>
    <xf numFmtId="0" fontId="6" fillId="8" borderId="42" xfId="0" applyFont="1" applyFill="1" applyBorder="1" applyAlignment="1">
      <alignment horizontal="center"/>
    </xf>
    <xf numFmtId="0" fontId="6" fillId="8" borderId="45" xfId="0" applyFont="1" applyFill="1" applyBorder="1" applyAlignment="1">
      <alignment horizontal="center"/>
    </xf>
    <xf numFmtId="0" fontId="33" fillId="6" borderId="94" xfId="0" applyFont="1" applyFill="1" applyBorder="1"/>
    <xf numFmtId="0" fontId="36" fillId="6" borderId="95" xfId="0" applyFont="1" applyFill="1" applyBorder="1"/>
    <xf numFmtId="0" fontId="7" fillId="5" borderId="54" xfId="0" applyFont="1" applyFill="1" applyBorder="1" applyAlignment="1">
      <alignment horizontal="center"/>
    </xf>
    <xf numFmtId="0" fontId="7" fillId="5" borderId="72" xfId="0" applyFont="1" applyFill="1" applyBorder="1" applyAlignment="1">
      <alignment horizontal="center"/>
    </xf>
    <xf numFmtId="0" fontId="7" fillId="5" borderId="71" xfId="0" applyFont="1" applyFill="1" applyBorder="1" applyAlignment="1">
      <alignment horizontal="center"/>
    </xf>
    <xf numFmtId="0" fontId="0" fillId="0" borderId="0" xfId="0" applyFill="1" applyBorder="1"/>
    <xf numFmtId="0" fontId="0" fillId="0" borderId="0" xfId="0" applyBorder="1"/>
    <xf numFmtId="0" fontId="6" fillId="5" borderId="0" xfId="0" applyFont="1" applyFill="1"/>
    <xf numFmtId="0" fontId="6" fillId="0" borderId="0" xfId="0" applyFont="1" applyBorder="1"/>
    <xf numFmtId="0" fontId="0" fillId="0" borderId="2" xfId="0" applyBorder="1" applyAlignment="1">
      <alignment horizontal="center"/>
    </xf>
    <xf numFmtId="1" fontId="15" fillId="0" borderId="33" xfId="0" applyNumberFormat="1" applyFont="1" applyFill="1" applyBorder="1" applyAlignment="1">
      <alignment horizontal="center"/>
    </xf>
    <xf numFmtId="2" fontId="6" fillId="4" borderId="42" xfId="0" quotePrefix="1" applyNumberFormat="1" applyFont="1" applyFill="1" applyBorder="1" applyProtection="1">
      <protection locked="0"/>
    </xf>
    <xf numFmtId="1" fontId="0" fillId="0" borderId="13" xfId="0" applyNumberFormat="1" applyBorder="1" applyAlignment="1">
      <alignment horizontal="center"/>
    </xf>
    <xf numFmtId="9" fontId="26" fillId="0" borderId="34" xfId="0" applyNumberFormat="1" applyFont="1" applyFill="1" applyBorder="1" applyAlignment="1">
      <alignment horizontal="center"/>
    </xf>
    <xf numFmtId="9" fontId="6" fillId="8" borderId="31" xfId="0" applyNumberFormat="1" applyFont="1" applyFill="1" applyBorder="1" applyAlignment="1">
      <alignment horizontal="center"/>
    </xf>
    <xf numFmtId="9" fontId="6" fillId="8" borderId="42" xfId="0" applyNumberFormat="1" applyFont="1" applyFill="1" applyBorder="1" applyAlignment="1">
      <alignment horizontal="center"/>
    </xf>
    <xf numFmtId="9" fontId="6" fillId="8" borderId="46" xfId="0" applyNumberFormat="1" applyFont="1" applyFill="1" applyBorder="1" applyAlignment="1">
      <alignment horizontal="center"/>
    </xf>
    <xf numFmtId="9" fontId="26" fillId="8" borderId="32" xfId="0" applyNumberFormat="1" applyFont="1" applyFill="1" applyBorder="1" applyAlignment="1">
      <alignment horizontal="center"/>
    </xf>
    <xf numFmtId="0" fontId="26" fillId="2" borderId="34" xfId="0" applyFont="1" applyFill="1" applyBorder="1" applyAlignment="1" applyProtection="1">
      <alignment horizontal="center"/>
      <protection locked="0"/>
    </xf>
    <xf numFmtId="0" fontId="6" fillId="3" borderId="29" xfId="0" applyFont="1" applyFill="1" applyBorder="1" applyAlignment="1" applyProtection="1">
      <alignment horizontal="center"/>
      <protection locked="0"/>
    </xf>
    <xf numFmtId="0" fontId="4" fillId="3" borderId="0" xfId="0" applyFont="1" applyFill="1" applyBorder="1" applyAlignment="1" applyProtection="1">
      <alignment horizontal="center"/>
      <protection locked="0"/>
    </xf>
    <xf numFmtId="0" fontId="6" fillId="3" borderId="0" xfId="0" applyFont="1" applyFill="1" applyBorder="1" applyAlignment="1" applyProtection="1">
      <alignment horizontal="center"/>
      <protection locked="0"/>
    </xf>
    <xf numFmtId="0" fontId="6" fillId="3" borderId="7" xfId="0" applyFont="1" applyFill="1" applyBorder="1" applyAlignment="1" applyProtection="1">
      <alignment horizontal="center"/>
      <protection locked="0"/>
    </xf>
    <xf numFmtId="0" fontId="7" fillId="5" borderId="0" xfId="0" applyFont="1" applyFill="1" applyBorder="1" applyAlignment="1">
      <alignment horizontal="left" vertical="center" wrapText="1"/>
    </xf>
    <xf numFmtId="0" fontId="4" fillId="4" borderId="34" xfId="0" applyFont="1" applyFill="1" applyBorder="1" applyAlignment="1" applyProtection="1">
      <alignment horizontal="center"/>
      <protection locked="0"/>
    </xf>
    <xf numFmtId="0" fontId="6" fillId="4" borderId="36" xfId="0" applyFont="1" applyFill="1" applyBorder="1" applyAlignment="1">
      <alignment horizontal="center"/>
    </xf>
    <xf numFmtId="2" fontId="6" fillId="4" borderId="33" xfId="0" applyNumberFormat="1" applyFont="1" applyFill="1" applyBorder="1" applyAlignment="1">
      <alignment horizontal="center"/>
    </xf>
    <xf numFmtId="0" fontId="0" fillId="5" borderId="0" xfId="0" applyFont="1" applyFill="1"/>
    <xf numFmtId="0" fontId="0" fillId="0" borderId="0" xfId="0" applyFill="1" applyAlignment="1">
      <alignment horizontal="center"/>
    </xf>
    <xf numFmtId="0" fontId="0" fillId="5" borderId="66" xfId="0" applyFill="1" applyBorder="1" applyAlignment="1">
      <alignment horizontal="center"/>
    </xf>
    <xf numFmtId="0" fontId="0" fillId="5" borderId="74" xfId="0" applyFill="1" applyBorder="1" applyAlignment="1">
      <alignment horizontal="center"/>
    </xf>
    <xf numFmtId="0" fontId="0" fillId="0" borderId="33" xfId="0" applyFill="1" applyBorder="1" applyAlignment="1">
      <alignment horizontal="left" vertical="center"/>
    </xf>
    <xf numFmtId="0" fontId="0" fillId="0" borderId="35" xfId="0" applyFill="1" applyBorder="1" applyAlignment="1">
      <alignment horizontal="center" vertical="center"/>
    </xf>
    <xf numFmtId="0" fontId="0" fillId="0" borderId="36" xfId="0" applyFill="1" applyBorder="1" applyAlignment="1">
      <alignment horizontal="left" vertical="center"/>
    </xf>
    <xf numFmtId="0" fontId="0" fillId="0" borderId="38" xfId="0" applyFill="1" applyBorder="1" applyAlignment="1">
      <alignment horizontal="center" vertical="center"/>
    </xf>
    <xf numFmtId="0" fontId="1" fillId="0" borderId="55" xfId="0" applyFont="1" applyFill="1" applyBorder="1" applyAlignment="1">
      <alignment horizontal="center" vertical="center"/>
    </xf>
    <xf numFmtId="0" fontId="0" fillId="0" borderId="0" xfId="0" quotePrefix="1" applyFill="1" applyBorder="1" applyAlignment="1">
      <alignment horizontal="center" vertical="center"/>
    </xf>
    <xf numFmtId="0" fontId="1" fillId="0" borderId="11" xfId="0" applyFont="1" applyFill="1" applyBorder="1" applyAlignment="1">
      <alignment horizontal="center" vertical="center" wrapText="1"/>
    </xf>
    <xf numFmtId="0" fontId="0" fillId="0" borderId="31" xfId="0" quotePrefix="1" applyFill="1" applyBorder="1" applyAlignment="1">
      <alignment horizontal="center" vertical="center"/>
    </xf>
    <xf numFmtId="0" fontId="1" fillId="0" borderId="67" xfId="0" applyFont="1" applyFill="1" applyBorder="1" applyAlignment="1">
      <alignment horizontal="center" vertical="center" wrapText="1"/>
    </xf>
    <xf numFmtId="0" fontId="6" fillId="0" borderId="0" xfId="0" applyFont="1" applyAlignment="1">
      <alignment horizontal="center"/>
    </xf>
    <xf numFmtId="0" fontId="6" fillId="0" borderId="0" xfId="0" applyFont="1"/>
    <xf numFmtId="0" fontId="9" fillId="0" borderId="3" xfId="0" applyFont="1" applyBorder="1" applyAlignment="1">
      <alignment horizontal="center"/>
    </xf>
    <xf numFmtId="0" fontId="9" fillId="0" borderId="54" xfId="0" applyFont="1" applyBorder="1" applyAlignment="1">
      <alignment horizontal="center"/>
    </xf>
    <xf numFmtId="0" fontId="9" fillId="0" borderId="4" xfId="0" applyFont="1" applyBorder="1" applyAlignment="1">
      <alignment horizontal="center"/>
    </xf>
    <xf numFmtId="0" fontId="9" fillId="0" borderId="55" xfId="0" applyFont="1" applyBorder="1" applyAlignment="1">
      <alignment horizontal="center"/>
    </xf>
    <xf numFmtId="0" fontId="9" fillId="0" borderId="56" xfId="0" applyFont="1" applyBorder="1" applyAlignment="1">
      <alignment horizontal="center"/>
    </xf>
    <xf numFmtId="0" fontId="9" fillId="0" borderId="55" xfId="0" applyFont="1" applyFill="1" applyBorder="1" applyAlignment="1">
      <alignment horizontal="center"/>
    </xf>
    <xf numFmtId="0" fontId="9" fillId="0" borderId="67" xfId="0" applyFont="1" applyFill="1" applyBorder="1" applyAlignment="1">
      <alignment horizontal="center"/>
    </xf>
    <xf numFmtId="0" fontId="9" fillId="0" borderId="56" xfId="0" applyFont="1" applyFill="1" applyBorder="1" applyAlignment="1">
      <alignment horizontal="center"/>
    </xf>
    <xf numFmtId="0" fontId="25" fillId="0" borderId="56" xfId="0" applyFont="1" applyFill="1" applyBorder="1" applyAlignment="1">
      <alignment horizontal="center"/>
    </xf>
    <xf numFmtId="0" fontId="25" fillId="0" borderId="55" xfId="0" applyFont="1" applyFill="1" applyBorder="1" applyAlignment="1">
      <alignment horizontal="center"/>
    </xf>
    <xf numFmtId="0" fontId="25" fillId="0" borderId="67" xfId="0" applyFont="1" applyFill="1" applyBorder="1" applyAlignment="1">
      <alignment horizontal="center"/>
    </xf>
    <xf numFmtId="0" fontId="9" fillId="0" borderId="6" xfId="0" applyFont="1" applyBorder="1" applyAlignment="1">
      <alignment horizontal="center"/>
    </xf>
    <xf numFmtId="0" fontId="9" fillId="0" borderId="0" xfId="0" applyFont="1" applyBorder="1" applyAlignment="1">
      <alignment horizontal="center"/>
    </xf>
    <xf numFmtId="0" fontId="9" fillId="0" borderId="7" xfId="0" applyFont="1" applyBorder="1" applyAlignment="1">
      <alignment horizontal="center"/>
    </xf>
    <xf numFmtId="0" fontId="9" fillId="0" borderId="18" xfId="0" applyFont="1" applyBorder="1" applyAlignment="1">
      <alignment horizontal="center"/>
    </xf>
    <xf numFmtId="0" fontId="9" fillId="0" borderId="16" xfId="0" applyFont="1" applyBorder="1" applyAlignment="1">
      <alignment horizontal="center"/>
    </xf>
    <xf numFmtId="0" fontId="9" fillId="0" borderId="18" xfId="0" applyFont="1" applyFill="1" applyBorder="1" applyAlignment="1">
      <alignment horizontal="center"/>
    </xf>
    <xf numFmtId="0" fontId="9" fillId="0" borderId="16" xfId="0" applyFont="1" applyFill="1" applyBorder="1" applyAlignment="1">
      <alignment horizontal="center"/>
    </xf>
    <xf numFmtId="0" fontId="6" fillId="0" borderId="18" xfId="0" applyFont="1" applyBorder="1"/>
    <xf numFmtId="0" fontId="6" fillId="0" borderId="15" xfId="0" applyFont="1" applyBorder="1"/>
    <xf numFmtId="0" fontId="6" fillId="0" borderId="42" xfId="0" applyFont="1" applyFill="1" applyBorder="1" applyAlignment="1">
      <alignment horizontal="center"/>
    </xf>
    <xf numFmtId="0" fontId="6" fillId="0" borderId="47" xfId="0" applyFont="1" applyFill="1" applyBorder="1" applyAlignment="1">
      <alignment horizontal="center"/>
    </xf>
    <xf numFmtId="0" fontId="6" fillId="0" borderId="53" xfId="0" applyFont="1" applyBorder="1"/>
    <xf numFmtId="0" fontId="6" fillId="0" borderId="46" xfId="0" applyFont="1" applyBorder="1"/>
    <xf numFmtId="0" fontId="6" fillId="0" borderId="57" xfId="0" applyFont="1" applyBorder="1"/>
    <xf numFmtId="0" fontId="6" fillId="0" borderId="45" xfId="0" applyFont="1" applyBorder="1"/>
    <xf numFmtId="9" fontId="6" fillId="0" borderId="45" xfId="0" applyNumberFormat="1" applyFont="1" applyBorder="1"/>
    <xf numFmtId="166" fontId="6" fillId="0" borderId="45" xfId="0" applyNumberFormat="1" applyFont="1" applyBorder="1"/>
    <xf numFmtId="0" fontId="6" fillId="0" borderId="6" xfId="0" applyFont="1" applyBorder="1" applyAlignment="1">
      <alignment horizontal="center"/>
    </xf>
    <xf numFmtId="0" fontId="6" fillId="0" borderId="6" xfId="0" applyFont="1" applyBorder="1"/>
    <xf numFmtId="0" fontId="6" fillId="0" borderId="7" xfId="0" applyFont="1" applyFill="1" applyBorder="1" applyAlignment="1">
      <alignment horizontal="center"/>
    </xf>
    <xf numFmtId="0" fontId="6" fillId="0" borderId="58" xfId="0" applyFont="1" applyBorder="1"/>
    <xf numFmtId="0" fontId="6" fillId="0" borderId="59" xfId="0" applyFont="1" applyBorder="1"/>
    <xf numFmtId="0" fontId="6" fillId="0" borderId="60" xfId="0" applyFont="1" applyBorder="1"/>
    <xf numFmtId="0" fontId="6" fillId="0" borderId="90" xfId="0" applyFont="1" applyBorder="1"/>
    <xf numFmtId="9" fontId="6" fillId="0" borderId="90" xfId="0" applyNumberFormat="1" applyFont="1" applyBorder="1"/>
    <xf numFmtId="166" fontId="6" fillId="0" borderId="90" xfId="0" applyNumberFormat="1" applyFont="1" applyBorder="1"/>
    <xf numFmtId="0" fontId="6" fillId="0" borderId="7" xfId="0" applyFont="1" applyFill="1" applyBorder="1" applyAlignment="1">
      <alignment horizontal="center" vertical="center"/>
    </xf>
    <xf numFmtId="0" fontId="6" fillId="0" borderId="61" xfId="0" applyFont="1" applyBorder="1"/>
    <xf numFmtId="0" fontId="6" fillId="0" borderId="62" xfId="0" applyFont="1" applyBorder="1"/>
    <xf numFmtId="0" fontId="6" fillId="0" borderId="63" xfId="0" applyFont="1" applyBorder="1"/>
    <xf numFmtId="0" fontId="6" fillId="0" borderId="8" xfId="0" applyFont="1" applyBorder="1"/>
    <xf numFmtId="0" fontId="6" fillId="0" borderId="2" xfId="0" applyFont="1" applyBorder="1"/>
    <xf numFmtId="0" fontId="6" fillId="0" borderId="2" xfId="0" applyFont="1" applyBorder="1" applyAlignment="1">
      <alignment horizontal="center"/>
    </xf>
    <xf numFmtId="0" fontId="6" fillId="0" borderId="89" xfId="0" applyFont="1" applyBorder="1"/>
    <xf numFmtId="9" fontId="6" fillId="0" borderId="89" xfId="0" applyNumberFormat="1" applyFont="1" applyBorder="1"/>
    <xf numFmtId="0" fontId="6" fillId="0" borderId="8" xfId="0" applyFont="1" applyBorder="1" applyAlignment="1">
      <alignment horizontal="center"/>
    </xf>
    <xf numFmtId="0" fontId="6" fillId="0" borderId="0" xfId="0" quotePrefix="1" applyFont="1" applyFill="1" applyBorder="1" applyAlignment="1">
      <alignment horizontal="center"/>
    </xf>
    <xf numFmtId="0" fontId="6" fillId="0" borderId="9" xfId="0" quotePrefix="1" applyFont="1" applyFill="1" applyBorder="1" applyAlignment="1">
      <alignment horizontal="center"/>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10" xfId="0" applyFont="1" applyFill="1" applyBorder="1" applyAlignment="1">
      <alignment horizontal="center" vertical="center"/>
    </xf>
    <xf numFmtId="0" fontId="17" fillId="0" borderId="2" xfId="0" applyFont="1" applyBorder="1"/>
    <xf numFmtId="0" fontId="9" fillId="0" borderId="3" xfId="0" applyFont="1" applyBorder="1" applyAlignment="1"/>
    <xf numFmtId="0" fontId="9" fillId="0" borderId="5" xfId="0" applyFont="1" applyBorder="1" applyAlignment="1">
      <alignment horizontal="center"/>
    </xf>
    <xf numFmtId="0" fontId="6" fillId="0" borderId="33" xfId="0" applyFont="1" applyBorder="1" applyAlignment="1">
      <alignment horizontal="center"/>
    </xf>
    <xf numFmtId="0" fontId="6" fillId="0" borderId="36" xfId="0" applyFont="1" applyBorder="1" applyAlignment="1">
      <alignment horizontal="center"/>
    </xf>
    <xf numFmtId="0" fontId="6" fillId="0" borderId="33" xfId="0" applyFont="1" applyBorder="1"/>
    <xf numFmtId="0" fontId="6" fillId="0" borderId="36" xfId="0" applyFont="1" applyBorder="1"/>
    <xf numFmtId="0" fontId="6" fillId="0" borderId="34" xfId="0" applyFont="1" applyBorder="1" applyAlignment="1">
      <alignment horizontal="center"/>
    </xf>
    <xf numFmtId="0" fontId="6" fillId="0" borderId="35" xfId="0" applyFont="1" applyBorder="1" applyAlignment="1">
      <alignment horizontal="center"/>
    </xf>
    <xf numFmtId="0" fontId="6" fillId="0" borderId="34" xfId="0" quotePrefix="1" applyFont="1" applyBorder="1" applyAlignment="1">
      <alignment horizontal="center"/>
    </xf>
    <xf numFmtId="0" fontId="6" fillId="0" borderId="37" xfId="0" quotePrefix="1" applyFont="1" applyBorder="1" applyAlignment="1">
      <alignment horizontal="center"/>
    </xf>
    <xf numFmtId="0" fontId="6" fillId="0" borderId="65" xfId="0" applyFont="1" applyBorder="1" applyAlignment="1">
      <alignment horizontal="center"/>
    </xf>
    <xf numFmtId="0" fontId="6" fillId="0" borderId="37" xfId="0" applyFont="1" applyBorder="1" applyAlignment="1">
      <alignment horizontal="center"/>
    </xf>
    <xf numFmtId="0" fontId="6" fillId="0" borderId="38" xfId="0" applyFont="1" applyBorder="1" applyAlignment="1">
      <alignment horizontal="center"/>
    </xf>
    <xf numFmtId="1" fontId="4" fillId="4" borderId="72" xfId="0" applyNumberFormat="1" applyFont="1" applyFill="1" applyBorder="1" applyAlignment="1" applyProtection="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0" fontId="6" fillId="0" borderId="36" xfId="0" applyFont="1" applyBorder="1"/>
    <xf numFmtId="0" fontId="6" fillId="0" borderId="37" xfId="0" applyFont="1" applyBorder="1" applyAlignment="1">
      <alignment horizontal="center"/>
    </xf>
    <xf numFmtId="0" fontId="6" fillId="0" borderId="33" xfId="0" applyFont="1" applyBorder="1"/>
    <xf numFmtId="0" fontId="6" fillId="0" borderId="38" xfId="0" applyFont="1" applyBorder="1" applyAlignment="1">
      <alignment horizontal="center"/>
    </xf>
    <xf numFmtId="0" fontId="6" fillId="0" borderId="35" xfId="0" applyFont="1" applyBorder="1" applyAlignment="1">
      <alignment horizontal="center"/>
    </xf>
    <xf numFmtId="0" fontId="4" fillId="0" borderId="13" xfId="0" quotePrefix="1" applyNumberFormat="1" applyFont="1" applyFill="1" applyBorder="1" applyAlignment="1">
      <alignment horizontal="center"/>
    </xf>
    <xf numFmtId="0" fontId="15" fillId="4" borderId="34" xfId="0" applyFont="1" applyFill="1" applyBorder="1" applyAlignment="1" applyProtection="1">
      <alignment horizontal="center"/>
      <protection locked="0"/>
    </xf>
    <xf numFmtId="0" fontId="6" fillId="4" borderId="31" xfId="0" applyFont="1" applyFill="1" applyBorder="1" applyAlignment="1" applyProtection="1">
      <alignment horizontal="center"/>
      <protection locked="0"/>
    </xf>
    <xf numFmtId="0" fontId="6" fillId="4" borderId="44" xfId="0" applyFont="1" applyFill="1" applyBorder="1" applyAlignment="1" applyProtection="1">
      <alignment horizontal="center"/>
      <protection locked="0"/>
    </xf>
    <xf numFmtId="167" fontId="6" fillId="0" borderId="37" xfId="0" applyNumberFormat="1" applyFont="1" applyFill="1" applyBorder="1"/>
    <xf numFmtId="0" fontId="28" fillId="0" borderId="2" xfId="0" applyFont="1" applyFill="1" applyBorder="1" applyAlignment="1">
      <alignment horizontal="center"/>
    </xf>
    <xf numFmtId="168" fontId="6" fillId="0" borderId="0" xfId="0" applyNumberFormat="1" applyFont="1" applyFill="1" applyBorder="1" applyAlignment="1">
      <alignment horizontal="center"/>
    </xf>
    <xf numFmtId="168" fontId="0" fillId="0" borderId="0" xfId="0" applyNumberFormat="1" applyFill="1" applyBorder="1" applyAlignment="1">
      <alignment horizontal="center"/>
    </xf>
    <xf numFmtId="167" fontId="6" fillId="0" borderId="86" xfId="0" applyNumberFormat="1" applyFont="1" applyFill="1" applyBorder="1" applyAlignment="1">
      <alignment horizontal="center" vertical="center"/>
    </xf>
    <xf numFmtId="0" fontId="0" fillId="0" borderId="19" xfId="0" applyBorder="1" applyAlignment="1"/>
    <xf numFmtId="0" fontId="26" fillId="8" borderId="49" xfId="0" applyFont="1" applyFill="1" applyBorder="1" applyAlignment="1">
      <alignment horizontal="center"/>
    </xf>
    <xf numFmtId="0" fontId="0" fillId="0" borderId="39" xfId="0" applyFill="1" applyBorder="1" applyAlignment="1"/>
    <xf numFmtId="0" fontId="26" fillId="0" borderId="40" xfId="0" applyFont="1" applyFill="1" applyBorder="1"/>
    <xf numFmtId="0" fontId="6" fillId="0" borderId="100" xfId="0" applyFont="1" applyFill="1" applyBorder="1"/>
    <xf numFmtId="0" fontId="0" fillId="5" borderId="39" xfId="0" applyFill="1" applyBorder="1" applyAlignment="1"/>
    <xf numFmtId="0" fontId="0" fillId="5" borderId="40" xfId="0" applyFill="1" applyBorder="1" applyAlignment="1"/>
    <xf numFmtId="0" fontId="6" fillId="5" borderId="36" xfId="0" applyFont="1" applyFill="1" applyBorder="1" applyAlignment="1">
      <alignment horizontal="center" vertical="center"/>
    </xf>
    <xf numFmtId="0" fontId="6" fillId="5" borderId="37" xfId="0" applyFont="1" applyFill="1" applyBorder="1" applyAlignment="1">
      <alignment horizontal="center" vertical="center"/>
    </xf>
    <xf numFmtId="167" fontId="6" fillId="0" borderId="32" xfId="0" applyNumberFormat="1" applyFont="1" applyFill="1" applyBorder="1" applyAlignment="1">
      <alignment horizontal="right"/>
    </xf>
    <xf numFmtId="0" fontId="32" fillId="0" borderId="0" xfId="0" applyFont="1" applyFill="1" applyBorder="1" applyAlignment="1">
      <alignment horizontal="center"/>
    </xf>
    <xf numFmtId="0" fontId="28" fillId="0" borderId="0" xfId="0" applyFont="1" applyFill="1" applyBorder="1" applyAlignment="1">
      <alignment horizontal="center"/>
    </xf>
    <xf numFmtId="0" fontId="9" fillId="0" borderId="55" xfId="0" applyFont="1" applyBorder="1" applyAlignment="1">
      <alignment horizontal="left"/>
    </xf>
    <xf numFmtId="0" fontId="9" fillId="0" borderId="67" xfId="0" applyFont="1" applyBorder="1" applyAlignment="1">
      <alignment horizontal="center"/>
    </xf>
    <xf numFmtId="0" fontId="6" fillId="0" borderId="33" xfId="0" applyFont="1" applyBorder="1" applyAlignment="1">
      <alignment horizontal="left"/>
    </xf>
    <xf numFmtId="169" fontId="6" fillId="0" borderId="34" xfId="0" applyNumberFormat="1" applyFont="1" applyBorder="1" applyAlignment="1">
      <alignment horizontal="center"/>
    </xf>
    <xf numFmtId="170" fontId="6" fillId="0" borderId="34" xfId="0" applyNumberFormat="1" applyFont="1" applyBorder="1" applyAlignment="1">
      <alignment horizontal="center"/>
    </xf>
    <xf numFmtId="167" fontId="6" fillId="0" borderId="34" xfId="0" applyNumberFormat="1" applyFont="1" applyBorder="1" applyAlignment="1">
      <alignment horizontal="center"/>
    </xf>
    <xf numFmtId="0" fontId="6" fillId="0" borderId="35" xfId="0" quotePrefix="1" applyFont="1" applyBorder="1" applyAlignment="1">
      <alignment horizontal="left"/>
    </xf>
    <xf numFmtId="0" fontId="6" fillId="0" borderId="53" xfId="0" applyFont="1" applyBorder="1" applyAlignment="1">
      <alignment horizontal="left"/>
    </xf>
    <xf numFmtId="0" fontId="6" fillId="0" borderId="45" xfId="0" applyFont="1" applyBorder="1" applyAlignment="1">
      <alignment horizontal="center"/>
    </xf>
    <xf numFmtId="167" fontId="6" fillId="0" borderId="45" xfId="0" applyNumberFormat="1" applyFont="1" applyBorder="1" applyAlignment="1">
      <alignment horizontal="center"/>
    </xf>
    <xf numFmtId="170" fontId="6" fillId="0" borderId="45" xfId="0" applyNumberFormat="1" applyFont="1" applyBorder="1" applyAlignment="1">
      <alignment horizontal="center"/>
    </xf>
    <xf numFmtId="0" fontId="6" fillId="0" borderId="46" xfId="0" quotePrefix="1" applyFont="1" applyBorder="1" applyAlignment="1">
      <alignment horizontal="left"/>
    </xf>
    <xf numFmtId="170" fontId="6" fillId="0" borderId="37" xfId="0" applyNumberFormat="1" applyFont="1" applyBorder="1" applyAlignment="1">
      <alignment horizontal="center"/>
    </xf>
    <xf numFmtId="0" fontId="31" fillId="0" borderId="6" xfId="0" applyFont="1" applyFill="1" applyBorder="1" applyAlignment="1">
      <alignment horizontal="center"/>
    </xf>
    <xf numFmtId="0" fontId="31" fillId="0" borderId="6" xfId="0" applyFont="1" applyFill="1" applyBorder="1" applyAlignment="1">
      <alignment horizontal="left"/>
    </xf>
    <xf numFmtId="167" fontId="6" fillId="0" borderId="0" xfId="0" applyNumberFormat="1" applyFont="1" applyFill="1" applyBorder="1" applyAlignment="1">
      <alignment horizontal="center"/>
    </xf>
    <xf numFmtId="0" fontId="6" fillId="0" borderId="9" xfId="0" applyFont="1" applyFill="1" applyBorder="1"/>
    <xf numFmtId="0" fontId="6" fillId="0" borderId="31" xfId="0" applyFont="1" applyFill="1" applyBorder="1" applyAlignment="1">
      <alignment horizontal="center"/>
    </xf>
    <xf numFmtId="0" fontId="6" fillId="0" borderId="68" xfId="0" applyFont="1" applyFill="1" applyBorder="1" applyAlignment="1">
      <alignment horizontal="left"/>
    </xf>
    <xf numFmtId="0" fontId="6" fillId="0" borderId="8" xfId="0" applyFont="1" applyFill="1" applyBorder="1"/>
    <xf numFmtId="0" fontId="6" fillId="0" borderId="10" xfId="0" applyFont="1" applyFill="1" applyBorder="1"/>
    <xf numFmtId="0" fontId="9" fillId="0" borderId="48" xfId="0" applyFont="1" applyFill="1" applyBorder="1" applyAlignment="1">
      <alignment horizontal="center"/>
    </xf>
    <xf numFmtId="0" fontId="39" fillId="6" borderId="95" xfId="0" applyFont="1" applyFill="1" applyBorder="1" applyAlignment="1">
      <alignment horizontal="center"/>
    </xf>
    <xf numFmtId="0" fontId="39" fillId="6" borderId="96" xfId="0" applyFont="1" applyFill="1" applyBorder="1" applyAlignment="1">
      <alignment horizontal="center"/>
    </xf>
    <xf numFmtId="0" fontId="40" fillId="6" borderId="41" xfId="0" applyFont="1" applyFill="1" applyBorder="1" applyAlignment="1">
      <alignment horizontal="center"/>
    </xf>
    <xf numFmtId="0" fontId="7" fillId="0" borderId="55" xfId="0" applyFont="1" applyFill="1" applyBorder="1" applyAlignment="1">
      <alignment horizontal="center" vertical="center"/>
    </xf>
    <xf numFmtId="0" fontId="6" fillId="0" borderId="0" xfId="0" quotePrefix="1" applyFont="1" applyFill="1"/>
    <xf numFmtId="2" fontId="6" fillId="0" borderId="0" xfId="0" quotePrefix="1" applyNumberFormat="1" applyFont="1" applyFill="1" applyBorder="1" applyAlignment="1">
      <alignment horizontal="center"/>
    </xf>
    <xf numFmtId="0" fontId="28" fillId="0" borderId="0" xfId="0" quotePrefix="1" applyFont="1" applyFill="1" applyBorder="1" applyAlignment="1">
      <alignment horizontal="center"/>
    </xf>
    <xf numFmtId="0" fontId="41" fillId="0" borderId="0" xfId="0" applyFont="1" applyAlignment="1">
      <alignment vertical="center"/>
    </xf>
    <xf numFmtId="0" fontId="0" fillId="0" borderId="0" xfId="0" quotePrefix="1"/>
    <xf numFmtId="2" fontId="6" fillId="0" borderId="0" xfId="0" quotePrefix="1" applyNumberFormat="1" applyFont="1" applyFill="1"/>
    <xf numFmtId="167" fontId="6" fillId="0" borderId="0" xfId="0" quotePrefix="1" applyNumberFormat="1" applyFont="1" applyFill="1" applyBorder="1" applyAlignment="1">
      <alignment horizontal="center"/>
    </xf>
    <xf numFmtId="0" fontId="42" fillId="0" borderId="0" xfId="0" applyFont="1" applyFill="1" applyAlignment="1">
      <alignment horizontal="center" wrapText="1"/>
    </xf>
    <xf numFmtId="0" fontId="42" fillId="0" borderId="0" xfId="0" applyFont="1" applyFill="1" applyAlignment="1">
      <alignment horizontal="center"/>
    </xf>
    <xf numFmtId="0" fontId="9" fillId="0" borderId="68" xfId="0" applyFont="1" applyFill="1" applyBorder="1" applyAlignment="1">
      <alignment horizontal="center"/>
    </xf>
    <xf numFmtId="0" fontId="6" fillId="0" borderId="38" xfId="0" applyFont="1" applyFill="1" applyBorder="1" applyAlignment="1">
      <alignment horizontal="center"/>
    </xf>
    <xf numFmtId="0" fontId="9" fillId="0" borderId="33" xfId="0" applyFont="1" applyFill="1" applyBorder="1" applyAlignment="1">
      <alignment horizontal="center"/>
    </xf>
    <xf numFmtId="0" fontId="9" fillId="0" borderId="36" xfId="0" applyFont="1" applyFill="1" applyBorder="1" applyAlignment="1">
      <alignment horizontal="center"/>
    </xf>
    <xf numFmtId="0" fontId="25" fillId="0" borderId="1" xfId="0" applyFont="1" applyFill="1" applyBorder="1" applyAlignment="1">
      <alignment vertical="top"/>
    </xf>
    <xf numFmtId="1" fontId="26" fillId="4" borderId="42" xfId="0" quotePrefix="1" applyNumberFormat="1" applyFont="1" applyFill="1" applyBorder="1" applyAlignment="1" applyProtection="1">
      <alignment horizontal="center"/>
      <protection locked="0"/>
    </xf>
    <xf numFmtId="0" fontId="26" fillId="2" borderId="42" xfId="0" applyFont="1" applyFill="1" applyBorder="1" applyAlignment="1" applyProtection="1">
      <alignment horizontal="center"/>
      <protection locked="0"/>
    </xf>
    <xf numFmtId="0" fontId="26" fillId="0" borderId="42" xfId="0" applyFont="1" applyFill="1" applyBorder="1" applyAlignment="1">
      <alignment horizontal="center"/>
    </xf>
    <xf numFmtId="0" fontId="32" fillId="6" borderId="75" xfId="0" applyFont="1" applyFill="1" applyBorder="1" applyAlignment="1">
      <alignment horizontal="center"/>
    </xf>
    <xf numFmtId="0" fontId="0" fillId="0" borderId="0" xfId="0" applyBorder="1" applyAlignment="1">
      <alignment horizontal="left"/>
    </xf>
    <xf numFmtId="0" fontId="0" fillId="0" borderId="0" xfId="0" applyFill="1" applyBorder="1" applyAlignment="1">
      <alignment wrapText="1"/>
    </xf>
    <xf numFmtId="0" fontId="0" fillId="0" borderId="0" xfId="0" applyFont="1" applyBorder="1" applyAlignment="1">
      <alignment horizontal="left"/>
    </xf>
    <xf numFmtId="0" fontId="0" fillId="0" borderId="0" xfId="0" applyFill="1" applyBorder="1" applyAlignment="1"/>
    <xf numFmtId="0" fontId="0" fillId="0" borderId="7" xfId="0" applyFill="1" applyBorder="1" applyAlignment="1"/>
    <xf numFmtId="0" fontId="0" fillId="0" borderId="0" xfId="0" applyFill="1" applyBorder="1"/>
    <xf numFmtId="0" fontId="0" fillId="0" borderId="7" xfId="0" applyFill="1" applyBorder="1"/>
    <xf numFmtId="0" fontId="0" fillId="0" borderId="7"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16" fillId="0" borderId="1" xfId="0" applyFont="1" applyBorder="1" applyAlignment="1">
      <alignment horizontal="center"/>
    </xf>
    <xf numFmtId="0" fontId="16" fillId="0" borderId="2" xfId="0" applyFont="1" applyBorder="1" applyAlignment="1">
      <alignment horizontal="center"/>
    </xf>
    <xf numFmtId="0" fontId="16" fillId="0" borderId="11" xfId="0" applyFont="1" applyBorder="1" applyAlignment="1">
      <alignment horizontal="center"/>
    </xf>
    <xf numFmtId="0" fontId="0" fillId="0" borderId="68"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23" fillId="0" borderId="68" xfId="0" applyFont="1" applyBorder="1" applyAlignment="1">
      <alignment horizontal="center"/>
    </xf>
    <xf numFmtId="0" fontId="23" fillId="0" borderId="0" xfId="0" applyFont="1" applyBorder="1" applyAlignment="1">
      <alignment horizontal="center"/>
    </xf>
    <xf numFmtId="0" fontId="23" fillId="0" borderId="7" xfId="0" applyFont="1" applyBorder="1" applyAlignment="1">
      <alignment horizontal="center"/>
    </xf>
    <xf numFmtId="0" fontId="4" fillId="2" borderId="31" xfId="0" applyFont="1" applyFill="1" applyBorder="1" applyAlignment="1" applyProtection="1">
      <alignment horizontal="center"/>
      <protection locked="0"/>
    </xf>
    <xf numFmtId="0" fontId="4" fillId="2" borderId="21" xfId="0" applyFont="1" applyFill="1" applyBorder="1" applyAlignment="1" applyProtection="1">
      <alignment horizontal="center"/>
      <protection locked="0"/>
    </xf>
    <xf numFmtId="0" fontId="4" fillId="2" borderId="31" xfId="0" applyNumberFormat="1" applyFont="1" applyFill="1" applyBorder="1" applyAlignment="1" applyProtection="1">
      <alignment horizontal="center"/>
      <protection locked="0"/>
    </xf>
    <xf numFmtId="0" fontId="4" fillId="2" borderId="21" xfId="0" applyNumberFormat="1" applyFont="1" applyFill="1" applyBorder="1" applyAlignment="1" applyProtection="1">
      <alignment horizontal="center"/>
      <protection locked="0"/>
    </xf>
    <xf numFmtId="49" fontId="4" fillId="2" borderId="31" xfId="0" applyNumberFormat="1" applyFont="1" applyFill="1" applyBorder="1" applyAlignment="1" applyProtection="1">
      <alignment horizontal="center"/>
      <protection locked="0"/>
    </xf>
    <xf numFmtId="49" fontId="4" fillId="2" borderId="21" xfId="0" applyNumberFormat="1" applyFont="1" applyFill="1" applyBorder="1" applyAlignment="1" applyProtection="1">
      <alignment horizontal="center"/>
      <protection locked="0"/>
    </xf>
    <xf numFmtId="0" fontId="0" fillId="0" borderId="0" xfId="0" applyBorder="1"/>
    <xf numFmtId="0" fontId="0" fillId="0" borderId="7" xfId="0" applyBorder="1"/>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6" fillId="2" borderId="13" xfId="0" applyFont="1" applyFill="1" applyBorder="1" applyAlignment="1" applyProtection="1">
      <alignment horizontal="left"/>
      <protection locked="0"/>
    </xf>
    <xf numFmtId="0" fontId="6" fillId="2" borderId="14" xfId="0" applyFont="1" applyFill="1" applyBorder="1" applyAlignment="1" applyProtection="1">
      <alignment horizontal="left"/>
      <protection locked="0"/>
    </xf>
    <xf numFmtId="0" fontId="6" fillId="0" borderId="34" xfId="0" applyFont="1" applyFill="1" applyBorder="1" applyAlignment="1">
      <alignment horizontal="left"/>
    </xf>
    <xf numFmtId="0" fontId="6" fillId="0" borderId="35" xfId="0" applyFont="1" applyFill="1" applyBorder="1" applyAlignment="1">
      <alignment horizontal="left"/>
    </xf>
    <xf numFmtId="0" fontId="6" fillId="0" borderId="37" xfId="0" applyFont="1" applyFill="1" applyBorder="1" applyAlignment="1">
      <alignment horizontal="left"/>
    </xf>
    <xf numFmtId="0" fontId="6" fillId="0" borderId="38" xfId="0" applyFont="1" applyFill="1" applyBorder="1" applyAlignment="1">
      <alignment horizontal="left"/>
    </xf>
    <xf numFmtId="0" fontId="37" fillId="0" borderId="8" xfId="0" applyFont="1" applyFill="1" applyBorder="1" applyAlignment="1"/>
    <xf numFmtId="0" fontId="38" fillId="0" borderId="9" xfId="0" applyFont="1" applyBorder="1" applyAlignment="1"/>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2" xfId="0" applyFont="1" applyBorder="1" applyAlignment="1">
      <alignment vertical="top" wrapText="1"/>
    </xf>
    <xf numFmtId="0" fontId="6" fillId="0" borderId="11" xfId="0" applyFont="1" applyBorder="1" applyAlignment="1">
      <alignment vertical="top" wrapText="1"/>
    </xf>
    <xf numFmtId="0" fontId="2" fillId="0" borderId="8" xfId="0" applyFont="1" applyFill="1" applyBorder="1"/>
    <xf numFmtId="0" fontId="2" fillId="0" borderId="30" xfId="0" applyFont="1" applyFill="1" applyBorder="1"/>
    <xf numFmtId="0" fontId="4" fillId="0" borderId="22" xfId="0" applyFont="1" applyFill="1" applyBorder="1"/>
    <xf numFmtId="0" fontId="4" fillId="0" borderId="23" xfId="0" applyFont="1" applyFill="1" applyBorder="1"/>
    <xf numFmtId="0" fontId="15" fillId="2" borderId="32" xfId="0" applyFont="1" applyFill="1" applyBorder="1" applyAlignment="1" applyProtection="1">
      <alignment horizontal="center"/>
      <protection locked="0"/>
    </xf>
    <xf numFmtId="0" fontId="15" fillId="2" borderId="25" xfId="0" applyFont="1" applyFill="1" applyBorder="1" applyAlignment="1" applyProtection="1">
      <alignment horizontal="center"/>
      <protection locked="0"/>
    </xf>
    <xf numFmtId="0" fontId="12" fillId="0" borderId="31" xfId="0" applyFont="1" applyFill="1" applyBorder="1" applyAlignment="1"/>
    <xf numFmtId="0" fontId="12" fillId="0" borderId="13" xfId="0" applyFont="1" applyFill="1" applyBorder="1" applyAlignment="1"/>
    <xf numFmtId="0" fontId="12" fillId="0" borderId="14" xfId="0" applyFont="1" applyFill="1" applyBorder="1" applyAlignment="1"/>
    <xf numFmtId="0" fontId="6" fillId="2" borderId="23" xfId="0" applyFont="1" applyFill="1" applyBorder="1" applyAlignment="1" applyProtection="1">
      <alignment horizontal="left"/>
      <protection locked="0"/>
    </xf>
    <xf numFmtId="0" fontId="6" fillId="2" borderId="25" xfId="0" applyFont="1" applyFill="1" applyBorder="1" applyAlignment="1" applyProtection="1">
      <alignment horizontal="left"/>
      <protection locked="0"/>
    </xf>
    <xf numFmtId="0" fontId="26" fillId="0" borderId="22" xfId="0" applyFont="1" applyFill="1" applyBorder="1" applyAlignment="1">
      <alignment horizontal="center"/>
    </xf>
    <xf numFmtId="0" fontId="0" fillId="0" borderId="24" xfId="0" applyBorder="1" applyAlignment="1">
      <alignment horizontal="center"/>
    </xf>
    <xf numFmtId="0" fontId="6" fillId="0" borderId="97" xfId="0" applyFont="1" applyBorder="1" applyAlignment="1"/>
    <xf numFmtId="0" fontId="26" fillId="7" borderId="32" xfId="0" applyFont="1" applyFill="1" applyBorder="1" applyAlignment="1" applyProtection="1">
      <protection locked="0"/>
    </xf>
    <xf numFmtId="0" fontId="0" fillId="0" borderId="24" xfId="0" applyBorder="1" applyAlignment="1" applyProtection="1">
      <protection locked="0"/>
    </xf>
    <xf numFmtId="0" fontId="26" fillId="8" borderId="31" xfId="0" applyFont="1" applyFill="1" applyBorder="1" applyAlignment="1">
      <alignment horizontal="center"/>
    </xf>
    <xf numFmtId="0" fontId="0" fillId="0" borderId="21" xfId="0" applyBorder="1" applyAlignment="1">
      <alignment horizontal="center"/>
    </xf>
    <xf numFmtId="0" fontId="32" fillId="6" borderId="94" xfId="0" applyFont="1" applyFill="1" applyBorder="1" applyAlignment="1">
      <alignment horizontal="center"/>
    </xf>
    <xf numFmtId="0" fontId="29" fillId="6" borderId="95" xfId="0" applyFont="1" applyFill="1" applyBorder="1" applyAlignment="1">
      <alignment horizontal="center"/>
    </xf>
    <xf numFmtId="0" fontId="32" fillId="6" borderId="95" xfId="0" applyFont="1" applyFill="1" applyBorder="1" applyAlignment="1">
      <alignment horizontal="center"/>
    </xf>
    <xf numFmtId="0" fontId="32" fillId="6" borderId="101" xfId="0" applyFont="1" applyFill="1" applyBorder="1" applyAlignment="1">
      <alignment horizontal="center"/>
    </xf>
    <xf numFmtId="0" fontId="32" fillId="6" borderId="102" xfId="0" applyFont="1" applyFill="1" applyBorder="1" applyAlignment="1">
      <alignment horizontal="center"/>
    </xf>
    <xf numFmtId="0" fontId="31" fillId="6" borderId="95" xfId="0" applyFont="1" applyFill="1" applyBorder="1" applyAlignment="1"/>
    <xf numFmtId="0" fontId="26" fillId="7" borderId="31" xfId="0" applyFont="1" applyFill="1" applyBorder="1" applyAlignment="1" applyProtection="1">
      <protection locked="0"/>
    </xf>
    <xf numFmtId="0" fontId="0" fillId="0" borderId="21" xfId="0" applyBorder="1" applyAlignment="1" applyProtection="1">
      <protection locked="0"/>
    </xf>
    <xf numFmtId="168" fontId="6" fillId="0" borderId="39" xfId="0" applyNumberFormat="1" applyFont="1" applyFill="1" applyBorder="1" applyAlignment="1">
      <alignment horizontal="center"/>
    </xf>
    <xf numFmtId="168" fontId="6" fillId="0" borderId="40" xfId="0" applyNumberFormat="1" applyFont="1" applyFill="1" applyBorder="1" applyAlignment="1">
      <alignment horizontal="center"/>
    </xf>
    <xf numFmtId="168" fontId="6" fillId="0" borderId="41" xfId="0" applyNumberFormat="1" applyFont="1" applyFill="1" applyBorder="1" applyAlignment="1">
      <alignment horizontal="center"/>
    </xf>
    <xf numFmtId="0" fontId="9" fillId="0" borderId="64" xfId="0" applyFont="1" applyFill="1" applyBorder="1" applyAlignment="1">
      <alignment horizontal="center" vertical="center" wrapText="1"/>
    </xf>
    <xf numFmtId="0" fontId="0" fillId="0" borderId="61" xfId="0" applyBorder="1" applyAlignment="1">
      <alignment horizontal="center" vertical="center" wrapText="1"/>
    </xf>
    <xf numFmtId="49" fontId="27" fillId="4" borderId="22" xfId="0" applyNumberFormat="1" applyFont="1" applyFill="1" applyBorder="1" applyAlignment="1" applyProtection="1">
      <protection locked="0"/>
    </xf>
    <xf numFmtId="49" fontId="0" fillId="0" borderId="23" xfId="0" applyNumberFormat="1" applyBorder="1" applyAlignment="1"/>
    <xf numFmtId="49" fontId="0" fillId="0" borderId="25" xfId="0" applyNumberFormat="1" applyBorder="1" applyAlignment="1"/>
    <xf numFmtId="167" fontId="6" fillId="0" borderId="22" xfId="0" applyNumberFormat="1" applyFont="1" applyFill="1" applyBorder="1"/>
    <xf numFmtId="167" fontId="6" fillId="0" borderId="23" xfId="0" applyNumberFormat="1" applyFont="1" applyFill="1" applyBorder="1"/>
    <xf numFmtId="167" fontId="6" fillId="0" borderId="24" xfId="0" applyNumberFormat="1" applyFont="1" applyFill="1" applyBorder="1"/>
    <xf numFmtId="167" fontId="6" fillId="0" borderId="32" xfId="0" applyNumberFormat="1" applyFont="1" applyFill="1" applyBorder="1"/>
    <xf numFmtId="0" fontId="6" fillId="4" borderId="31" xfId="0" applyFont="1" applyFill="1" applyBorder="1" applyAlignment="1" applyProtection="1">
      <protection locked="0"/>
    </xf>
    <xf numFmtId="0" fontId="6" fillId="4" borderId="13" xfId="0" applyFont="1" applyFill="1" applyBorder="1" applyAlignment="1" applyProtection="1">
      <protection locked="0"/>
    </xf>
    <xf numFmtId="0" fontId="6" fillId="4" borderId="21" xfId="0" applyFont="1" applyFill="1" applyBorder="1" applyAlignment="1" applyProtection="1">
      <protection locked="0"/>
    </xf>
    <xf numFmtId="0" fontId="6" fillId="4" borderId="12" xfId="0" applyFont="1" applyFill="1" applyBorder="1" applyProtection="1">
      <protection locked="0"/>
    </xf>
    <xf numFmtId="0" fontId="6" fillId="4" borderId="13" xfId="0" applyFont="1" applyFill="1" applyBorder="1" applyProtection="1">
      <protection locked="0"/>
    </xf>
    <xf numFmtId="0" fontId="6" fillId="4" borderId="21" xfId="0" applyFont="1" applyFill="1" applyBorder="1" applyProtection="1">
      <protection locked="0"/>
    </xf>
    <xf numFmtId="0" fontId="6" fillId="4" borderId="31" xfId="0" applyFont="1" applyFill="1" applyBorder="1" applyProtection="1">
      <protection locked="0"/>
    </xf>
    <xf numFmtId="0" fontId="27" fillId="4" borderId="18" xfId="0" applyFont="1" applyFill="1" applyBorder="1" applyAlignment="1" applyProtection="1">
      <protection locked="0"/>
    </xf>
    <xf numFmtId="0" fontId="27" fillId="4" borderId="15" xfId="0" applyFont="1" applyFill="1" applyBorder="1" applyAlignment="1" applyProtection="1">
      <protection locked="0"/>
    </xf>
    <xf numFmtId="0" fontId="27" fillId="4" borderId="20" xfId="0" applyFont="1" applyFill="1" applyBorder="1" applyAlignment="1" applyProtection="1">
      <protection locked="0"/>
    </xf>
    <xf numFmtId="0" fontId="27" fillId="4" borderId="12" xfId="0" applyFont="1" applyFill="1" applyBorder="1" applyAlignment="1" applyProtection="1">
      <protection locked="0"/>
    </xf>
    <xf numFmtId="0" fontId="27" fillId="4" borderId="13" xfId="0" applyFont="1" applyFill="1" applyBorder="1" applyAlignment="1" applyProtection="1">
      <protection locked="0"/>
    </xf>
    <xf numFmtId="0" fontId="27" fillId="4" borderId="21" xfId="0" applyFont="1" applyFill="1" applyBorder="1" applyAlignment="1" applyProtection="1">
      <protection locked="0"/>
    </xf>
    <xf numFmtId="0" fontId="32" fillId="6" borderId="99" xfId="0" applyFont="1" applyFill="1" applyBorder="1"/>
    <xf numFmtId="0" fontId="32" fillId="6" borderId="40" xfId="0" applyFont="1" applyFill="1" applyBorder="1"/>
    <xf numFmtId="0" fontId="32" fillId="6" borderId="77" xfId="0" applyFont="1" applyFill="1" applyBorder="1"/>
    <xf numFmtId="0" fontId="6" fillId="4" borderId="48" xfId="0" applyFont="1" applyFill="1" applyBorder="1" applyProtection="1">
      <protection locked="0"/>
    </xf>
    <xf numFmtId="0" fontId="6" fillId="4" borderId="4" xfId="0" applyFont="1" applyFill="1" applyBorder="1" applyProtection="1">
      <protection locked="0"/>
    </xf>
    <xf numFmtId="0" fontId="6" fillId="4" borderId="28" xfId="0" applyFont="1" applyFill="1" applyBorder="1" applyProtection="1">
      <protection locked="0"/>
    </xf>
    <xf numFmtId="0" fontId="33" fillId="6" borderId="78" xfId="0" applyFont="1" applyFill="1" applyBorder="1" applyAlignment="1">
      <alignment horizontal="center" vertical="center" wrapText="1"/>
    </xf>
    <xf numFmtId="0" fontId="33" fillId="6" borderId="79" xfId="0" applyFont="1" applyFill="1" applyBorder="1" applyAlignment="1">
      <alignment horizontal="center" vertical="center" wrapText="1"/>
    </xf>
    <xf numFmtId="0" fontId="33" fillId="6" borderId="80" xfId="0" applyFont="1" applyFill="1" applyBorder="1" applyAlignment="1">
      <alignment horizontal="center" vertical="center" wrapText="1"/>
    </xf>
    <xf numFmtId="0" fontId="33" fillId="6" borderId="81" xfId="0" applyFont="1" applyFill="1" applyBorder="1" applyAlignment="1">
      <alignment horizontal="center" vertical="center" wrapText="1"/>
    </xf>
    <xf numFmtId="0" fontId="15" fillId="0" borderId="12" xfId="0" applyFont="1" applyFill="1" applyBorder="1"/>
    <xf numFmtId="0" fontId="15" fillId="0" borderId="13" xfId="0" applyFont="1" applyFill="1" applyBorder="1"/>
    <xf numFmtId="0" fontId="6" fillId="0" borderId="13" xfId="0" applyFont="1" applyFill="1" applyBorder="1"/>
    <xf numFmtId="0" fontId="6" fillId="0" borderId="31" xfId="0" applyFont="1" applyFill="1" applyBorder="1"/>
    <xf numFmtId="0" fontId="34" fillId="6" borderId="83" xfId="0" applyFont="1" applyFill="1" applyBorder="1" applyAlignment="1">
      <alignment horizontal="center" vertical="center" wrapText="1"/>
    </xf>
    <xf numFmtId="0" fontId="29" fillId="6" borderId="82" xfId="0" applyFont="1" applyFill="1" applyBorder="1" applyAlignment="1">
      <alignment horizontal="center" vertical="center" wrapText="1"/>
    </xf>
    <xf numFmtId="0" fontId="32" fillId="6" borderId="39" xfId="0" applyFont="1" applyFill="1" applyBorder="1"/>
    <xf numFmtId="0" fontId="6" fillId="4" borderId="3" xfId="0" applyFont="1" applyFill="1" applyBorder="1" applyProtection="1">
      <protection locked="0"/>
    </xf>
    <xf numFmtId="0" fontId="6" fillId="4" borderId="12" xfId="0" applyFont="1" applyFill="1" applyBorder="1" applyAlignment="1" applyProtection="1">
      <protection locked="0"/>
    </xf>
    <xf numFmtId="0" fontId="6" fillId="0" borderId="88" xfId="0" applyFont="1" applyFill="1" applyBorder="1"/>
    <xf numFmtId="0" fontId="6" fillId="0" borderId="2" xfId="0" applyFont="1" applyFill="1" applyBorder="1"/>
    <xf numFmtId="0" fontId="6" fillId="0" borderId="74" xfId="0" applyFont="1" applyFill="1" applyBorder="1"/>
    <xf numFmtId="0" fontId="6" fillId="0" borderId="9" xfId="0" applyFont="1" applyFill="1" applyBorder="1"/>
    <xf numFmtId="0" fontId="33" fillId="6" borderId="3" xfId="0" applyFont="1" applyFill="1" applyBorder="1" applyAlignment="1">
      <alignment horizontal="center"/>
    </xf>
    <xf numFmtId="0" fontId="33" fillId="6" borderId="4" xfId="0" applyFont="1" applyFill="1" applyBorder="1" applyAlignment="1">
      <alignment horizontal="center"/>
    </xf>
    <xf numFmtId="0" fontId="33" fillId="6" borderId="84" xfId="0" applyFont="1" applyFill="1" applyBorder="1" applyAlignment="1">
      <alignment horizontal="center"/>
    </xf>
    <xf numFmtId="37" fontId="6" fillId="4" borderId="1" xfId="4" applyNumberFormat="1" applyFont="1" applyFill="1" applyBorder="1" applyAlignment="1" applyProtection="1">
      <alignment horizontal="center" vertical="center"/>
      <protection locked="0"/>
    </xf>
    <xf numFmtId="37" fontId="6" fillId="4" borderId="2" xfId="4" applyNumberFormat="1" applyFont="1" applyFill="1" applyBorder="1" applyAlignment="1" applyProtection="1">
      <alignment horizontal="center" vertical="center"/>
      <protection locked="0"/>
    </xf>
    <xf numFmtId="37" fontId="6" fillId="4" borderId="11" xfId="4" applyNumberFormat="1" applyFont="1" applyFill="1" applyBorder="1" applyAlignment="1" applyProtection="1">
      <alignment horizontal="center" vertical="center"/>
      <protection locked="0"/>
    </xf>
    <xf numFmtId="37" fontId="6" fillId="4" borderId="68" xfId="4" applyNumberFormat="1" applyFont="1" applyFill="1" applyBorder="1" applyAlignment="1" applyProtection="1">
      <alignment horizontal="center" vertical="center"/>
      <protection locked="0"/>
    </xf>
    <xf numFmtId="37" fontId="6" fillId="4" borderId="0" xfId="4" applyNumberFormat="1" applyFont="1" applyFill="1" applyBorder="1" applyAlignment="1" applyProtection="1">
      <alignment horizontal="center" vertical="center"/>
      <protection locked="0"/>
    </xf>
    <xf numFmtId="37" fontId="6" fillId="4" borderId="7" xfId="4" applyNumberFormat="1" applyFont="1" applyFill="1" applyBorder="1" applyAlignment="1" applyProtection="1">
      <alignment horizontal="center" vertical="center"/>
      <protection locked="0"/>
    </xf>
    <xf numFmtId="0" fontId="15" fillId="0" borderId="46" xfId="0" applyFont="1" applyFill="1" applyBorder="1" applyAlignment="1">
      <alignment horizontal="center" vertical="center"/>
    </xf>
    <xf numFmtId="0" fontId="18" fillId="0" borderId="59" xfId="0" applyFont="1" applyBorder="1" applyAlignment="1">
      <alignment horizontal="center" vertical="center"/>
    </xf>
    <xf numFmtId="0" fontId="32" fillId="6" borderId="2" xfId="0" applyFont="1" applyFill="1" applyBorder="1" applyAlignment="1">
      <alignment horizontal="center" vertical="center"/>
    </xf>
    <xf numFmtId="0" fontId="32" fillId="6" borderId="0" xfId="0" applyFont="1" applyFill="1" applyBorder="1" applyAlignment="1">
      <alignment horizontal="center" vertical="center"/>
    </xf>
    <xf numFmtId="37" fontId="6" fillId="0" borderId="74" xfId="4" applyNumberFormat="1" applyFont="1" applyFill="1" applyBorder="1" applyAlignment="1" applyProtection="1">
      <alignment horizontal="left" vertical="center"/>
      <protection locked="0"/>
    </xf>
    <xf numFmtId="37" fontId="6" fillId="0" borderId="9" xfId="4" applyNumberFormat="1" applyFont="1" applyFill="1" applyBorder="1" applyAlignment="1" applyProtection="1">
      <alignment horizontal="left" vertical="center"/>
      <protection locked="0"/>
    </xf>
    <xf numFmtId="37" fontId="6" fillId="0" borderId="10" xfId="4" applyNumberFormat="1" applyFont="1" applyFill="1" applyBorder="1" applyAlignment="1" applyProtection="1">
      <alignment horizontal="left" vertical="center"/>
      <protection locked="0"/>
    </xf>
    <xf numFmtId="37" fontId="6" fillId="0" borderId="1" xfId="4" applyNumberFormat="1" applyFont="1" applyFill="1" applyBorder="1" applyAlignment="1" applyProtection="1">
      <alignment horizontal="center" vertical="center"/>
    </xf>
    <xf numFmtId="37" fontId="6" fillId="0" borderId="2" xfId="4" applyNumberFormat="1" applyFont="1" applyFill="1" applyBorder="1" applyAlignment="1" applyProtection="1">
      <alignment horizontal="center" vertical="center"/>
    </xf>
    <xf numFmtId="37" fontId="6" fillId="0" borderId="11" xfId="4" applyNumberFormat="1" applyFont="1" applyFill="1" applyBorder="1" applyAlignment="1" applyProtection="1">
      <alignment horizontal="center" vertical="center"/>
    </xf>
    <xf numFmtId="37" fontId="6" fillId="0" borderId="68" xfId="4" applyNumberFormat="1" applyFont="1" applyFill="1" applyBorder="1" applyAlignment="1" applyProtection="1">
      <alignment horizontal="center" vertical="center"/>
    </xf>
    <xf numFmtId="37" fontId="6" fillId="0" borderId="0" xfId="4" applyNumberFormat="1" applyFont="1" applyFill="1" applyBorder="1" applyAlignment="1" applyProtection="1">
      <alignment horizontal="center" vertical="center"/>
    </xf>
    <xf numFmtId="37" fontId="6" fillId="0" borderId="7" xfId="4" applyNumberFormat="1" applyFont="1" applyFill="1" applyBorder="1" applyAlignment="1" applyProtection="1">
      <alignment horizontal="center" vertical="center"/>
    </xf>
    <xf numFmtId="0" fontId="6" fillId="0" borderId="52" xfId="0" applyFont="1" applyFill="1" applyBorder="1"/>
    <xf numFmtId="0" fontId="6" fillId="0" borderId="26" xfId="0" applyFont="1" applyFill="1" applyBorder="1"/>
    <xf numFmtId="0" fontId="6" fillId="0" borderId="44" xfId="0" applyFont="1" applyFill="1" applyBorder="1"/>
    <xf numFmtId="0" fontId="33" fillId="6" borderId="12" xfId="0" applyFont="1" applyFill="1" applyBorder="1" applyAlignment="1">
      <alignment horizontal="center"/>
    </xf>
    <xf numFmtId="0" fontId="33" fillId="6" borderId="13" xfId="0" applyFont="1" applyFill="1" applyBorder="1" applyAlignment="1">
      <alignment horizontal="center"/>
    </xf>
    <xf numFmtId="0" fontId="33" fillId="6" borderId="14" xfId="0" applyFont="1" applyFill="1" applyBorder="1" applyAlignment="1">
      <alignment horizontal="center"/>
    </xf>
    <xf numFmtId="0" fontId="2" fillId="0" borderId="52" xfId="0" applyFont="1" applyFill="1" applyBorder="1" applyAlignment="1" applyProtection="1">
      <alignment horizontal="left"/>
    </xf>
    <xf numFmtId="0" fontId="2" fillId="0" borderId="26" xfId="0" applyFont="1" applyFill="1" applyBorder="1" applyAlignment="1" applyProtection="1">
      <alignment horizontal="left"/>
    </xf>
    <xf numFmtId="0" fontId="4" fillId="5" borderId="31" xfId="0" applyFont="1" applyFill="1" applyBorder="1" applyAlignment="1">
      <alignment horizontal="center"/>
    </xf>
    <xf numFmtId="0" fontId="4" fillId="5" borderId="14" xfId="0" applyFont="1" applyFill="1" applyBorder="1" applyAlignment="1">
      <alignment horizontal="center"/>
    </xf>
    <xf numFmtId="0" fontId="8" fillId="0" borderId="68" xfId="0" applyFont="1" applyFill="1" applyBorder="1"/>
    <xf numFmtId="0" fontId="8" fillId="0" borderId="0" xfId="0" applyFont="1" applyFill="1" applyBorder="1"/>
    <xf numFmtId="0" fontId="4" fillId="0" borderId="26" xfId="0" applyFont="1" applyFill="1" applyBorder="1" applyAlignment="1" applyProtection="1">
      <alignment horizontal="center"/>
    </xf>
    <xf numFmtId="0" fontId="4" fillId="0" borderId="27" xfId="0" applyFont="1" applyFill="1" applyBorder="1" applyAlignment="1" applyProtection="1">
      <alignment horizontal="center"/>
    </xf>
    <xf numFmtId="0" fontId="4" fillId="2" borderId="14" xfId="0" applyFont="1" applyFill="1" applyBorder="1" applyAlignment="1" applyProtection="1">
      <alignment horizontal="center"/>
      <protection locked="0"/>
    </xf>
    <xf numFmtId="1" fontId="4" fillId="2" borderId="31" xfId="0" applyNumberFormat="1" applyFont="1" applyFill="1" applyBorder="1" applyAlignment="1" applyProtection="1">
      <alignment horizontal="center"/>
      <protection locked="0"/>
    </xf>
    <xf numFmtId="1" fontId="4" fillId="2" borderId="14" xfId="0" applyNumberFormat="1" applyFont="1" applyFill="1" applyBorder="1" applyAlignment="1" applyProtection="1">
      <alignment horizontal="center"/>
      <protection locked="0"/>
    </xf>
    <xf numFmtId="165" fontId="4" fillId="2" borderId="31" xfId="0" applyNumberFormat="1" applyFont="1" applyFill="1" applyBorder="1" applyAlignment="1" applyProtection="1">
      <alignment horizontal="center"/>
      <protection locked="0"/>
    </xf>
    <xf numFmtId="165" fontId="4" fillId="2" borderId="14" xfId="0" applyNumberFormat="1" applyFont="1" applyFill="1" applyBorder="1" applyAlignment="1" applyProtection="1">
      <alignment horizontal="center"/>
      <protection locked="0"/>
    </xf>
    <xf numFmtId="0" fontId="2" fillId="0" borderId="52" xfId="0" applyFont="1" applyFill="1" applyBorder="1"/>
    <xf numFmtId="0" fontId="2" fillId="0" borderId="87" xfId="0" applyFont="1" applyFill="1" applyBorder="1"/>
    <xf numFmtId="0" fontId="2" fillId="0" borderId="68" xfId="0" applyFont="1" applyFill="1" applyBorder="1"/>
    <xf numFmtId="0" fontId="2" fillId="0" borderId="29" xfId="0" applyFont="1" applyFill="1" applyBorder="1"/>
    <xf numFmtId="0" fontId="4" fillId="0" borderId="12" xfId="0" applyFont="1" applyFill="1" applyBorder="1"/>
    <xf numFmtId="0" fontId="4" fillId="0" borderId="13" xfId="0" applyFont="1" applyFill="1" applyBorder="1"/>
    <xf numFmtId="0" fontId="8" fillId="5" borderId="57" xfId="0" applyFont="1" applyFill="1" applyBorder="1" applyAlignment="1">
      <alignment horizontal="center" wrapText="1"/>
    </xf>
    <xf numFmtId="0" fontId="8" fillId="5" borderId="73" xfId="0" applyFont="1" applyFill="1" applyBorder="1" applyAlignment="1">
      <alignment horizontal="center" wrapText="1"/>
    </xf>
    <xf numFmtId="0" fontId="32" fillId="6" borderId="39" xfId="0" applyFont="1" applyFill="1" applyBorder="1" applyAlignment="1">
      <alignment vertical="top" wrapText="1"/>
    </xf>
    <xf numFmtId="0" fontId="32" fillId="6" borderId="40" xfId="0" applyFont="1" applyFill="1" applyBorder="1" applyAlignment="1">
      <alignment vertical="top" wrapText="1"/>
    </xf>
    <xf numFmtId="0" fontId="32" fillId="6" borderId="85" xfId="0" applyFont="1" applyFill="1" applyBorder="1" applyAlignment="1">
      <alignment vertical="top" wrapText="1"/>
    </xf>
    <xf numFmtId="0" fontId="6" fillId="0" borderId="8" xfId="0" applyFont="1" applyFill="1" applyBorder="1" applyAlignment="1">
      <alignment horizontal="center"/>
    </xf>
    <xf numFmtId="0" fontId="15" fillId="0" borderId="0" xfId="0" applyFont="1" applyFill="1" applyBorder="1" applyAlignment="1">
      <alignment horizontal="center"/>
    </xf>
    <xf numFmtId="0" fontId="15" fillId="0" borderId="7" xfId="0" applyFont="1" applyFill="1" applyBorder="1" applyAlignment="1">
      <alignment horizontal="center"/>
    </xf>
    <xf numFmtId="0" fontId="2" fillId="0" borderId="68" xfId="0" applyFont="1" applyFill="1" applyBorder="1" applyAlignment="1" applyProtection="1">
      <alignment horizontal="left"/>
    </xf>
    <xf numFmtId="0" fontId="2" fillId="0" borderId="0" xfId="0" applyFont="1" applyFill="1" applyBorder="1" applyAlignment="1" applyProtection="1">
      <alignment horizontal="left"/>
    </xf>
    <xf numFmtId="0" fontId="2" fillId="0" borderId="26" xfId="0" applyFont="1" applyFill="1" applyBorder="1"/>
    <xf numFmtId="0" fontId="2" fillId="0" borderId="0" xfId="0" applyFont="1" applyFill="1" applyBorder="1"/>
    <xf numFmtId="0" fontId="12" fillId="0" borderId="43" xfId="0" applyFont="1" applyFill="1" applyBorder="1" applyAlignment="1"/>
    <xf numFmtId="0" fontId="12" fillId="0" borderId="15" xfId="0" applyFont="1" applyFill="1" applyBorder="1" applyAlignment="1"/>
    <xf numFmtId="0" fontId="12" fillId="0" borderId="16" xfId="0" applyFont="1" applyFill="1" applyBorder="1" applyAlignment="1"/>
    <xf numFmtId="0" fontId="32" fillId="6" borderId="104" xfId="0" applyFont="1" applyFill="1" applyBorder="1"/>
    <xf numFmtId="0" fontId="32" fillId="6" borderId="41" xfId="0" applyFont="1" applyFill="1" applyBorder="1"/>
    <xf numFmtId="0" fontId="9" fillId="0" borderId="68" xfId="0" applyFont="1" applyFill="1" applyBorder="1"/>
    <xf numFmtId="0" fontId="9" fillId="0" borderId="0" xfId="0" applyFont="1" applyFill="1" applyBorder="1"/>
    <xf numFmtId="0" fontId="9" fillId="0" borderId="8" xfId="0" applyFont="1" applyFill="1" applyBorder="1" applyAlignment="1"/>
    <xf numFmtId="0" fontId="9" fillId="0" borderId="9" xfId="0" applyFont="1" applyFill="1" applyBorder="1" applyAlignment="1"/>
    <xf numFmtId="0" fontId="4" fillId="0" borderId="31" xfId="0" applyNumberFormat="1" applyFont="1" applyFill="1" applyBorder="1" applyAlignment="1" applyProtection="1">
      <alignment horizontal="center"/>
    </xf>
    <xf numFmtId="0" fontId="4" fillId="0" borderId="14" xfId="0" applyNumberFormat="1" applyFont="1" applyFill="1" applyBorder="1" applyAlignment="1" applyProtection="1">
      <alignment horizontal="center"/>
    </xf>
    <xf numFmtId="0" fontId="4" fillId="0" borderId="44" xfId="0" applyNumberFormat="1" applyFont="1" applyFill="1" applyBorder="1" applyAlignment="1" applyProtection="1">
      <alignment horizontal="center"/>
    </xf>
    <xf numFmtId="0" fontId="4" fillId="0" borderId="27" xfId="0" applyNumberFormat="1" applyFont="1" applyFill="1" applyBorder="1" applyAlignment="1" applyProtection="1">
      <alignment horizontal="center"/>
    </xf>
    <xf numFmtId="0" fontId="32" fillId="6" borderId="94" xfId="0" applyFont="1" applyFill="1" applyBorder="1" applyAlignment="1">
      <alignment horizontal="left"/>
    </xf>
    <xf numFmtId="0" fontId="32" fillId="6" borderId="95" xfId="0" applyFont="1" applyFill="1" applyBorder="1" applyAlignment="1">
      <alignment horizontal="left"/>
    </xf>
    <xf numFmtId="0" fontId="33" fillId="6" borderId="5" xfId="0" applyFont="1" applyFill="1" applyBorder="1" applyAlignment="1">
      <alignment horizontal="center"/>
    </xf>
    <xf numFmtId="0" fontId="15" fillId="2" borderId="31" xfId="0" applyFont="1" applyFill="1" applyBorder="1" applyAlignment="1" applyProtection="1">
      <alignment horizontal="center"/>
      <protection locked="0"/>
    </xf>
    <xf numFmtId="0" fontId="15" fillId="2" borderId="14" xfId="0" applyFont="1" applyFill="1" applyBorder="1" applyAlignment="1" applyProtection="1">
      <alignment horizontal="center"/>
      <protection locked="0"/>
    </xf>
    <xf numFmtId="0" fontId="7" fillId="0" borderId="12" xfId="0" applyFont="1" applyFill="1" applyBorder="1"/>
    <xf numFmtId="0" fontId="7" fillId="0" borderId="13" xfId="0" applyFont="1" applyFill="1" applyBorder="1"/>
    <xf numFmtId="0" fontId="33" fillId="6" borderId="22" xfId="0" applyFont="1" applyFill="1" applyBorder="1" applyAlignment="1">
      <alignment horizontal="center"/>
    </xf>
    <xf numFmtId="0" fontId="33" fillId="6" borderId="23" xfId="0" applyFont="1" applyFill="1" applyBorder="1" applyAlignment="1">
      <alignment horizontal="center"/>
    </xf>
    <xf numFmtId="0" fontId="33" fillId="6" borderId="25" xfId="0" applyFont="1" applyFill="1" applyBorder="1" applyAlignment="1">
      <alignment horizontal="center"/>
    </xf>
    <xf numFmtId="0" fontId="9" fillId="0" borderId="3" xfId="0" applyFont="1" applyFill="1" applyBorder="1" applyAlignment="1">
      <alignment horizontal="left"/>
    </xf>
    <xf numFmtId="0" fontId="9" fillId="0" borderId="5" xfId="0" applyFont="1" applyFill="1" applyBorder="1" applyAlignment="1">
      <alignment horizontal="left"/>
    </xf>
    <xf numFmtId="0" fontId="9" fillId="0" borderId="12" xfId="0" applyFont="1" applyFill="1" applyBorder="1" applyAlignment="1">
      <alignment horizontal="left"/>
    </xf>
    <xf numFmtId="0" fontId="9" fillId="0" borderId="14" xfId="0" applyFont="1" applyFill="1" applyBorder="1" applyAlignment="1">
      <alignment horizontal="left"/>
    </xf>
    <xf numFmtId="0" fontId="9" fillId="0" borderId="52" xfId="0" applyFont="1" applyFill="1" applyBorder="1" applyAlignment="1">
      <alignment horizontal="left"/>
    </xf>
    <xf numFmtId="0" fontId="9" fillId="0" borderId="27" xfId="0" applyFont="1" applyFill="1" applyBorder="1" applyAlignment="1">
      <alignment horizontal="left"/>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center"/>
    </xf>
    <xf numFmtId="0" fontId="4" fillId="5" borderId="26" xfId="0" applyFont="1" applyFill="1" applyBorder="1" applyAlignment="1" applyProtection="1">
      <alignment horizontal="center"/>
    </xf>
    <xf numFmtId="0" fontId="4" fillId="5" borderId="27" xfId="0" applyFont="1" applyFill="1" applyBorder="1" applyAlignment="1" applyProtection="1">
      <alignment horizontal="center"/>
    </xf>
    <xf numFmtId="0" fontId="4" fillId="5" borderId="0" xfId="0" applyFont="1" applyFill="1" applyBorder="1" applyAlignment="1">
      <alignment horizontal="center" vertical="center"/>
    </xf>
    <xf numFmtId="0" fontId="4" fillId="5" borderId="7" xfId="0" applyFont="1" applyFill="1" applyBorder="1" applyAlignment="1">
      <alignment horizontal="center" vertical="center"/>
    </xf>
    <xf numFmtId="0" fontId="7" fillId="0" borderId="66" xfId="0" applyFont="1" applyFill="1" applyBorder="1" applyAlignment="1" applyProtection="1">
      <alignment horizontal="center"/>
      <protection locked="0"/>
    </xf>
    <xf numFmtId="0" fontId="7" fillId="0" borderId="7" xfId="0" applyFont="1" applyFill="1" applyBorder="1" applyAlignment="1" applyProtection="1">
      <alignment horizontal="center"/>
      <protection locked="0"/>
    </xf>
    <xf numFmtId="0" fontId="32" fillId="6" borderId="3" xfId="0" applyFont="1" applyFill="1" applyBorder="1" applyAlignment="1">
      <alignment horizontal="center"/>
    </xf>
    <xf numFmtId="0" fontId="32" fillId="6" borderId="4" xfId="0" applyFont="1" applyFill="1" applyBorder="1" applyAlignment="1">
      <alignment horizontal="center"/>
    </xf>
    <xf numFmtId="0" fontId="32" fillId="6" borderId="5" xfId="0" applyFont="1" applyFill="1" applyBorder="1" applyAlignment="1">
      <alignment horizontal="center"/>
    </xf>
    <xf numFmtId="37" fontId="6" fillId="0" borderId="88" xfId="4" applyNumberFormat="1" applyFont="1" applyFill="1" applyBorder="1" applyAlignment="1" applyProtection="1">
      <alignment horizontal="left" vertical="center"/>
      <protection locked="0"/>
    </xf>
    <xf numFmtId="37" fontId="6" fillId="0" borderId="2" xfId="4" applyNumberFormat="1" applyFont="1" applyFill="1" applyBorder="1" applyAlignment="1" applyProtection="1">
      <alignment horizontal="left" vertical="center"/>
      <protection locked="0"/>
    </xf>
    <xf numFmtId="37" fontId="6" fillId="0" borderId="11" xfId="4" applyNumberFormat="1" applyFont="1" applyFill="1" applyBorder="1" applyAlignment="1" applyProtection="1">
      <alignment horizontal="left" vertical="center"/>
      <protection locked="0"/>
    </xf>
    <xf numFmtId="167" fontId="4" fillId="5" borderId="26" xfId="0" applyNumberFormat="1" applyFont="1" applyFill="1" applyBorder="1" applyAlignment="1">
      <alignment horizontal="center"/>
    </xf>
    <xf numFmtId="167" fontId="4" fillId="5" borderId="27" xfId="0" applyNumberFormat="1" applyFont="1" applyFill="1" applyBorder="1" applyAlignment="1">
      <alignment horizontal="center"/>
    </xf>
    <xf numFmtId="9" fontId="6" fillId="0" borderId="0" xfId="0" applyNumberFormat="1" applyFont="1" applyFill="1" applyBorder="1" applyAlignment="1">
      <alignment horizontal="center"/>
    </xf>
    <xf numFmtId="9" fontId="6" fillId="0" borderId="7" xfId="0" applyNumberFormat="1" applyFont="1" applyFill="1" applyBorder="1" applyAlignment="1">
      <alignment horizontal="center"/>
    </xf>
    <xf numFmtId="1" fontId="4" fillId="0" borderId="0" xfId="0" applyNumberFormat="1" applyFont="1" applyFill="1" applyBorder="1" applyAlignment="1">
      <alignment horizontal="center"/>
    </xf>
    <xf numFmtId="1" fontId="4" fillId="0" borderId="7" xfId="0" applyNumberFormat="1" applyFont="1" applyFill="1" applyBorder="1" applyAlignment="1">
      <alignment horizontal="center"/>
    </xf>
    <xf numFmtId="0" fontId="4" fillId="5" borderId="0" xfId="0" applyFont="1" applyFill="1" applyBorder="1" applyAlignment="1">
      <alignment horizontal="center"/>
    </xf>
    <xf numFmtId="0" fontId="4" fillId="5" borderId="7" xfId="0" applyFont="1" applyFill="1" applyBorder="1" applyAlignment="1">
      <alignment horizontal="center"/>
    </xf>
    <xf numFmtId="1" fontId="6" fillId="0" borderId="9" xfId="0" applyNumberFormat="1" applyFont="1" applyFill="1" applyBorder="1" applyAlignment="1">
      <alignment horizontal="center"/>
    </xf>
    <xf numFmtId="1" fontId="6" fillId="0" borderId="10" xfId="0" applyNumberFormat="1" applyFont="1" applyFill="1" applyBorder="1" applyAlignment="1">
      <alignment horizontal="center"/>
    </xf>
    <xf numFmtId="164" fontId="4" fillId="0" borderId="26" xfId="0" applyNumberFormat="1" applyFont="1" applyFill="1" applyBorder="1" applyAlignment="1" applyProtection="1">
      <alignment horizontal="center"/>
    </xf>
    <xf numFmtId="164" fontId="4" fillId="0" borderId="27" xfId="0" applyNumberFormat="1" applyFont="1" applyFill="1" applyBorder="1" applyAlignment="1" applyProtection="1">
      <alignment horizontal="center"/>
    </xf>
    <xf numFmtId="1" fontId="4" fillId="0" borderId="0" xfId="0" applyNumberFormat="1" applyFont="1" applyFill="1" applyBorder="1" applyAlignment="1" applyProtection="1">
      <alignment horizontal="center" vertical="center"/>
    </xf>
    <xf numFmtId="1" fontId="4" fillId="0" borderId="7" xfId="0" applyNumberFormat="1" applyFont="1" applyFill="1" applyBorder="1" applyAlignment="1" applyProtection="1">
      <alignment horizontal="center" vertical="center"/>
    </xf>
    <xf numFmtId="0" fontId="32" fillId="6" borderId="103" xfId="0" applyFont="1" applyFill="1" applyBorder="1" applyAlignment="1">
      <alignment horizontal="center"/>
    </xf>
    <xf numFmtId="0" fontId="32" fillId="6" borderId="56" xfId="0" applyFont="1" applyFill="1" applyBorder="1" applyAlignment="1">
      <alignment horizontal="center"/>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4" borderId="31"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32" fillId="6" borderId="99" xfId="0" applyFont="1" applyFill="1" applyBorder="1" applyAlignment="1">
      <alignment horizontal="center"/>
    </xf>
    <xf numFmtId="0" fontId="32" fillId="6" borderId="40" xfId="0" applyFont="1" applyFill="1" applyBorder="1" applyAlignment="1">
      <alignment horizontal="center"/>
    </xf>
    <xf numFmtId="0" fontId="6" fillId="4" borderId="48"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6" fillId="4" borderId="14" xfId="0" applyFont="1" applyFill="1" applyBorder="1" applyAlignment="1" applyProtection="1">
      <alignment horizontal="center"/>
      <protection locked="0"/>
    </xf>
    <xf numFmtId="0" fontId="32" fillId="6" borderId="99" xfId="0" applyFont="1" applyFill="1" applyBorder="1" applyAlignment="1">
      <alignment horizontal="left"/>
    </xf>
    <xf numFmtId="0" fontId="32" fillId="6" borderId="40" xfId="0" applyFont="1" applyFill="1" applyBorder="1" applyAlignment="1">
      <alignment horizontal="left"/>
    </xf>
    <xf numFmtId="0" fontId="32" fillId="6" borderId="41" xfId="0" applyFont="1" applyFill="1" applyBorder="1" applyAlignment="1">
      <alignment horizontal="left"/>
    </xf>
    <xf numFmtId="0" fontId="6" fillId="4" borderId="5" xfId="0" applyFont="1" applyFill="1" applyBorder="1" applyAlignment="1" applyProtection="1">
      <alignment horizontal="center"/>
      <protection locked="0"/>
    </xf>
    <xf numFmtId="167" fontId="6" fillId="0" borderId="32" xfId="0" applyNumberFormat="1" applyFont="1" applyFill="1" applyBorder="1" applyAlignment="1">
      <alignment horizontal="left"/>
    </xf>
    <xf numFmtId="167" fontId="6" fillId="0" borderId="23" xfId="0" applyNumberFormat="1" applyFont="1" applyFill="1" applyBorder="1" applyAlignment="1">
      <alignment horizontal="left"/>
    </xf>
    <xf numFmtId="167" fontId="6" fillId="0" borderId="25" xfId="0" applyNumberFormat="1" applyFont="1" applyFill="1" applyBorder="1" applyAlignment="1">
      <alignment horizontal="left"/>
    </xf>
    <xf numFmtId="0" fontId="28" fillId="6" borderId="4" xfId="0" applyFont="1" applyFill="1" applyBorder="1" applyAlignment="1">
      <alignment horizontal="center"/>
    </xf>
    <xf numFmtId="0" fontId="28" fillId="6" borderId="5" xfId="0" applyFont="1" applyFill="1" applyBorder="1" applyAlignment="1">
      <alignment horizontal="center"/>
    </xf>
    <xf numFmtId="168" fontId="6" fillId="0" borderId="22" xfId="0" applyNumberFormat="1" applyFont="1" applyFill="1" applyBorder="1" applyAlignment="1">
      <alignment horizontal="center"/>
    </xf>
    <xf numFmtId="168" fontId="6" fillId="0" borderId="23" xfId="0" applyNumberFormat="1" applyFont="1" applyFill="1" applyBorder="1" applyAlignment="1">
      <alignment horizontal="center"/>
    </xf>
    <xf numFmtId="168" fontId="6" fillId="0" borderId="25" xfId="0" applyNumberFormat="1" applyFont="1" applyFill="1" applyBorder="1" applyAlignment="1">
      <alignment horizontal="center"/>
    </xf>
    <xf numFmtId="0" fontId="32" fillId="6" borderId="39" xfId="0" applyFont="1" applyFill="1" applyBorder="1" applyAlignment="1">
      <alignment horizontal="center"/>
    </xf>
    <xf numFmtId="0" fontId="28" fillId="6" borderId="40" xfId="0" applyFont="1" applyFill="1" applyBorder="1" applyAlignment="1">
      <alignment horizontal="center"/>
    </xf>
    <xf numFmtId="0" fontId="28" fillId="6" borderId="41" xfId="0" applyFont="1" applyFill="1" applyBorder="1" applyAlignment="1">
      <alignment horizont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4" borderId="44" xfId="0" applyFont="1" applyFill="1" applyBorder="1" applyAlignment="1" applyProtection="1">
      <alignment horizontal="center"/>
      <protection locked="0"/>
    </xf>
    <xf numFmtId="0" fontId="6" fillId="4" borderId="26" xfId="0" applyFont="1" applyFill="1" applyBorder="1" applyAlignment="1" applyProtection="1">
      <alignment horizontal="center"/>
      <protection locked="0"/>
    </xf>
    <xf numFmtId="0" fontId="6" fillId="5" borderId="37" xfId="0" applyFont="1" applyFill="1" applyBorder="1" applyAlignment="1">
      <alignment horizontal="center" vertical="center"/>
    </xf>
    <xf numFmtId="0" fontId="6" fillId="4" borderId="45" xfId="0" applyFont="1" applyFill="1" applyBorder="1" applyAlignment="1">
      <alignment horizontal="center"/>
    </xf>
    <xf numFmtId="0" fontId="6" fillId="4" borderId="46" xfId="0" applyFont="1" applyFill="1" applyBorder="1" applyAlignment="1">
      <alignment horizontal="center"/>
    </xf>
    <xf numFmtId="0" fontId="32" fillId="6" borderId="9" xfId="0" applyFont="1" applyFill="1" applyBorder="1" applyAlignment="1">
      <alignment horizontal="center"/>
    </xf>
    <xf numFmtId="0" fontId="32" fillId="6" borderId="10" xfId="0" applyFont="1" applyFill="1" applyBorder="1" applyAlignment="1">
      <alignment horizontal="center"/>
    </xf>
    <xf numFmtId="167" fontId="6" fillId="0" borderId="98" xfId="0" applyNumberFormat="1" applyFont="1" applyFill="1" applyBorder="1" applyAlignment="1">
      <alignment horizontal="center"/>
    </xf>
    <xf numFmtId="167" fontId="6" fillId="0" borderId="40" xfId="0" applyNumberFormat="1" applyFont="1" applyFill="1" applyBorder="1" applyAlignment="1">
      <alignment horizontal="center"/>
    </xf>
    <xf numFmtId="167" fontId="6" fillId="0" borderId="41" xfId="0" applyNumberFormat="1" applyFont="1" applyFill="1" applyBorder="1" applyAlignment="1">
      <alignment horizontal="center"/>
    </xf>
    <xf numFmtId="0" fontId="6" fillId="0" borderId="33" xfId="0" quotePrefix="1" applyFont="1" applyFill="1" applyBorder="1" applyAlignment="1">
      <alignment horizontal="center"/>
    </xf>
    <xf numFmtId="0" fontId="6" fillId="0" borderId="34" xfId="0" applyFont="1" applyFill="1" applyBorder="1" applyAlignment="1">
      <alignment horizontal="center"/>
    </xf>
    <xf numFmtId="0" fontId="6" fillId="0" borderId="36" xfId="0" quotePrefix="1" applyFont="1" applyFill="1" applyBorder="1" applyAlignment="1">
      <alignment horizontal="center"/>
    </xf>
    <xf numFmtId="0" fontId="6" fillId="0" borderId="37" xfId="0" applyFont="1" applyFill="1" applyBorder="1" applyAlignment="1">
      <alignment horizontal="center"/>
    </xf>
    <xf numFmtId="170" fontId="6" fillId="0" borderId="34" xfId="0" applyNumberFormat="1" applyFont="1" applyFill="1" applyBorder="1" applyAlignment="1">
      <alignment horizontal="center"/>
    </xf>
    <xf numFmtId="170" fontId="6" fillId="0" borderId="37" xfId="0" applyNumberFormat="1" applyFont="1" applyFill="1" applyBorder="1" applyAlignment="1">
      <alignment horizontal="center"/>
    </xf>
    <xf numFmtId="170" fontId="6" fillId="0" borderId="31" xfId="0" applyNumberFormat="1" applyFont="1" applyFill="1" applyBorder="1" applyAlignment="1">
      <alignment horizontal="center"/>
    </xf>
    <xf numFmtId="170" fontId="6" fillId="0" borderId="21" xfId="0" applyNumberFormat="1" applyFont="1" applyFill="1" applyBorder="1" applyAlignment="1">
      <alignment horizontal="center"/>
    </xf>
    <xf numFmtId="170" fontId="6" fillId="0" borderId="32" xfId="0" applyNumberFormat="1" applyFont="1" applyFill="1" applyBorder="1" applyAlignment="1">
      <alignment horizontal="center"/>
    </xf>
    <xf numFmtId="170" fontId="6" fillId="0" borderId="24" xfId="0" applyNumberFormat="1" applyFont="1" applyFill="1" applyBorder="1" applyAlignment="1">
      <alignment horizontal="center"/>
    </xf>
    <xf numFmtId="0" fontId="6" fillId="0" borderId="31" xfId="0" applyFont="1" applyFill="1" applyBorder="1" applyAlignment="1">
      <alignment horizontal="center"/>
    </xf>
    <xf numFmtId="0" fontId="6" fillId="0" borderId="13" xfId="0" applyFont="1" applyFill="1" applyBorder="1" applyAlignment="1">
      <alignment horizontal="center"/>
    </xf>
    <xf numFmtId="0" fontId="6" fillId="0" borderId="32" xfId="0" applyFont="1" applyFill="1" applyBorder="1" applyAlignment="1">
      <alignment horizontal="center"/>
    </xf>
    <xf numFmtId="0" fontId="6" fillId="0" borderId="24" xfId="0" applyFont="1" applyFill="1" applyBorder="1" applyAlignment="1">
      <alignment horizontal="center"/>
    </xf>
    <xf numFmtId="0" fontId="9" fillId="0" borderId="22" xfId="0" applyFont="1" applyFill="1" applyBorder="1" applyAlignment="1">
      <alignment horizontal="left"/>
    </xf>
    <xf numFmtId="0" fontId="9" fillId="0" borderId="25" xfId="0" applyFont="1" applyFill="1" applyBorder="1" applyAlignment="1">
      <alignment horizontal="left"/>
    </xf>
    <xf numFmtId="0" fontId="9" fillId="0" borderId="55" xfId="0" applyFont="1" applyFill="1" applyBorder="1" applyAlignment="1">
      <alignment horizontal="center"/>
    </xf>
    <xf numFmtId="0" fontId="9" fillId="0" borderId="67" xfId="0" applyFont="1" applyFill="1" applyBorder="1" applyAlignment="1">
      <alignment horizontal="center"/>
    </xf>
    <xf numFmtId="0" fontId="9" fillId="0" borderId="48" xfId="0" applyFont="1" applyFill="1" applyBorder="1" applyAlignment="1">
      <alignment horizontal="center"/>
    </xf>
    <xf numFmtId="0" fontId="9" fillId="0" borderId="28" xfId="0" applyFont="1" applyFill="1" applyBorder="1" applyAlignment="1">
      <alignment horizontal="center"/>
    </xf>
    <xf numFmtId="0" fontId="32" fillId="6" borderId="41" xfId="0" applyFont="1" applyFill="1" applyBorder="1" applyAlignment="1">
      <alignment horizontal="center"/>
    </xf>
    <xf numFmtId="0" fontId="7" fillId="5" borderId="58" xfId="0" applyFont="1" applyFill="1" applyBorder="1" applyAlignment="1">
      <alignment horizontal="center"/>
    </xf>
    <xf numFmtId="0" fontId="7" fillId="5" borderId="90" xfId="0" applyFont="1" applyFill="1" applyBorder="1" applyAlignment="1">
      <alignment horizontal="center"/>
    </xf>
    <xf numFmtId="0" fontId="7" fillId="5" borderId="59" xfId="0" applyFont="1" applyFill="1" applyBorder="1" applyAlignment="1">
      <alignment horizontal="center"/>
    </xf>
    <xf numFmtId="0" fontId="6" fillId="0" borderId="31" xfId="0" applyFont="1" applyBorder="1"/>
    <xf numFmtId="0" fontId="6" fillId="0" borderId="13" xfId="0" applyFont="1" applyBorder="1"/>
    <xf numFmtId="0" fontId="6" fillId="0" borderId="14" xfId="0" applyFont="1" applyBorder="1"/>
    <xf numFmtId="0" fontId="6" fillId="0" borderId="74" xfId="0" applyFont="1" applyBorder="1"/>
    <xf numFmtId="0" fontId="6" fillId="0" borderId="9" xfId="0" applyFont="1" applyBorder="1"/>
    <xf numFmtId="0" fontId="6" fillId="0" borderId="10" xfId="0" applyFont="1" applyBorder="1"/>
    <xf numFmtId="0" fontId="35" fillId="6" borderId="52" xfId="0" applyFont="1" applyFill="1" applyBorder="1"/>
    <xf numFmtId="0" fontId="35" fillId="6" borderId="26" xfId="0" applyFont="1" applyFill="1" applyBorder="1"/>
    <xf numFmtId="0" fontId="35" fillId="6" borderId="87" xfId="0" applyFont="1" applyFill="1" applyBorder="1"/>
    <xf numFmtId="0" fontId="35" fillId="6" borderId="44" xfId="0" applyFont="1" applyFill="1" applyBorder="1"/>
    <xf numFmtId="0" fontId="35" fillId="6" borderId="27" xfId="0" applyFont="1" applyFill="1" applyBorder="1"/>
    <xf numFmtId="0" fontId="6" fillId="0" borderId="43" xfId="0" applyFont="1" applyBorder="1"/>
    <xf numFmtId="0" fontId="6" fillId="0" borderId="15" xfId="0" applyFont="1" applyBorder="1"/>
    <xf numFmtId="0" fontId="6" fillId="0" borderId="16" xfId="0" applyFont="1" applyBorder="1"/>
    <xf numFmtId="0" fontId="35" fillId="6" borderId="44" xfId="0" applyFont="1" applyFill="1" applyBorder="1" applyAlignment="1">
      <alignment horizontal="left"/>
    </xf>
    <xf numFmtId="0" fontId="35" fillId="6" borderId="26" xfId="0" applyFont="1" applyFill="1" applyBorder="1" applyAlignment="1">
      <alignment horizontal="left"/>
    </xf>
    <xf numFmtId="0" fontId="35" fillId="6" borderId="87" xfId="0" applyFont="1" applyFill="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0" fontId="16" fillId="0" borderId="4" xfId="0" applyFont="1" applyBorder="1" applyAlignment="1">
      <alignment horizontal="right"/>
    </xf>
    <xf numFmtId="0" fontId="16" fillId="0" borderId="5" xfId="0" applyFont="1" applyBorder="1" applyAlignment="1">
      <alignment horizontal="right"/>
    </xf>
    <xf numFmtId="0" fontId="35" fillId="6" borderId="92" xfId="0" applyFont="1" applyFill="1" applyBorder="1"/>
    <xf numFmtId="0" fontId="35" fillId="6" borderId="93" xfId="0" applyFont="1" applyFill="1" applyBorder="1"/>
    <xf numFmtId="0" fontId="35" fillId="6" borderId="91" xfId="0" applyFont="1" applyFill="1" applyBorder="1"/>
    <xf numFmtId="0" fontId="17" fillId="0" borderId="2" xfId="0" applyFont="1" applyBorder="1" applyAlignment="1">
      <alignment horizontal="right" vertical="center"/>
    </xf>
    <xf numFmtId="0" fontId="17" fillId="0" borderId="11" xfId="0" applyFont="1" applyBorder="1" applyAlignment="1">
      <alignment horizontal="right"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6" fillId="4" borderId="14" xfId="0" applyFont="1" applyFill="1" applyBorder="1" applyProtection="1">
      <protection locked="0"/>
    </xf>
    <xf numFmtId="0" fontId="6" fillId="0" borderId="37" xfId="0" applyFont="1" applyBorder="1" applyAlignment="1">
      <alignment horizontal="center"/>
    </xf>
    <xf numFmtId="0" fontId="6" fillId="0" borderId="38" xfId="0" applyFont="1" applyBorder="1" applyAlignment="1">
      <alignment horizontal="center"/>
    </xf>
    <xf numFmtId="0" fontId="6" fillId="0" borderId="48"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center"/>
    </xf>
    <xf numFmtId="0" fontId="6" fillId="0" borderId="19" xfId="0" applyFont="1" applyBorder="1" applyAlignment="1">
      <alignment horizontal="center"/>
    </xf>
    <xf numFmtId="0" fontId="6" fillId="0" borderId="49" xfId="0" applyFont="1" applyBorder="1" applyAlignment="1">
      <alignment horizontal="center"/>
    </xf>
    <xf numFmtId="0" fontId="6" fillId="0" borderId="50" xfId="0" applyFont="1" applyBorder="1" applyAlignment="1">
      <alignment horizont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6" fillId="3" borderId="33" xfId="0" applyFont="1" applyFill="1" applyBorder="1" applyAlignment="1">
      <alignment horizontal="center"/>
    </xf>
    <xf numFmtId="0" fontId="6" fillId="3" borderId="34" xfId="0" applyFont="1" applyFill="1" applyBorder="1" applyAlignment="1">
      <alignment horizontal="center"/>
    </xf>
    <xf numFmtId="0" fontId="6" fillId="3" borderId="35" xfId="0" applyFont="1" applyFill="1" applyBorder="1" applyAlignment="1">
      <alignment horizontal="center"/>
    </xf>
    <xf numFmtId="0" fontId="6" fillId="0" borderId="33" xfId="0" applyFont="1" applyBorder="1" applyAlignment="1"/>
    <xf numFmtId="0" fontId="6" fillId="0" borderId="34" xfId="0" applyFont="1" applyBorder="1" applyAlignment="1"/>
    <xf numFmtId="0" fontId="6" fillId="0" borderId="34" xfId="0" applyFont="1" applyBorder="1" applyAlignment="1">
      <alignment horizontal="center"/>
    </xf>
    <xf numFmtId="0" fontId="6" fillId="0" borderId="33" xfId="0" applyFont="1" applyBorder="1"/>
    <xf numFmtId="0" fontId="6" fillId="0" borderId="34" xfId="0" applyFont="1" applyBorder="1"/>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68" xfId="0" applyFont="1" applyBorder="1" applyAlignment="1">
      <alignment horizontal="left" vertical="center"/>
    </xf>
    <xf numFmtId="0" fontId="17" fillId="0" borderId="0" xfId="0" applyFont="1" applyBorder="1" applyAlignment="1">
      <alignment horizontal="left" vertical="center"/>
    </xf>
    <xf numFmtId="0" fontId="6" fillId="0" borderId="1" xfId="0" applyFont="1" applyBorder="1" applyAlignment="1"/>
    <xf numFmtId="0" fontId="6" fillId="0" borderId="2" xfId="0" applyFont="1" applyBorder="1" applyAlignment="1"/>
    <xf numFmtId="0" fontId="6" fillId="0" borderId="19" xfId="0" applyFont="1" applyBorder="1" applyAlignment="1"/>
    <xf numFmtId="0" fontId="9" fillId="0" borderId="3" xfId="0" applyFont="1" applyBorder="1" applyAlignment="1">
      <alignment horizontal="left"/>
    </xf>
    <xf numFmtId="0" fontId="9" fillId="0" borderId="4" xfId="0" applyFont="1" applyBorder="1" applyAlignment="1">
      <alignment horizontal="left"/>
    </xf>
    <xf numFmtId="0" fontId="9" fillId="4" borderId="3" xfId="0" applyFont="1" applyFill="1" applyBorder="1" applyProtection="1">
      <protection locked="0"/>
    </xf>
    <xf numFmtId="0" fontId="9" fillId="4" borderId="4" xfId="0" applyFont="1" applyFill="1" applyBorder="1" applyProtection="1">
      <protection locked="0"/>
    </xf>
    <xf numFmtId="0" fontId="9" fillId="4" borderId="5" xfId="0" applyFont="1" applyFill="1" applyBorder="1" applyProtection="1">
      <protection locked="0"/>
    </xf>
    <xf numFmtId="0" fontId="6" fillId="0" borderId="35" xfId="0" applyFont="1" applyBorder="1" applyAlignment="1">
      <alignment horizontal="center"/>
    </xf>
    <xf numFmtId="0" fontId="6" fillId="0" borderId="36" xfId="0" applyFont="1" applyBorder="1" applyAlignment="1"/>
    <xf numFmtId="0" fontId="6" fillId="0" borderId="37" xfId="0" applyFont="1" applyBorder="1" applyAlignment="1"/>
    <xf numFmtId="0" fontId="6" fillId="0" borderId="31" xfId="0" quotePrefix="1" applyFont="1" applyBorder="1" applyAlignment="1">
      <alignment horizontal="center"/>
    </xf>
    <xf numFmtId="0" fontId="6" fillId="0" borderId="21" xfId="0" quotePrefix="1" applyFont="1" applyBorder="1" applyAlignment="1">
      <alignment horizontal="center"/>
    </xf>
    <xf numFmtId="0" fontId="6" fillId="0" borderId="32" xfId="0" quotePrefix="1" applyFont="1" applyBorder="1" applyAlignment="1">
      <alignment horizontal="center"/>
    </xf>
    <xf numFmtId="0" fontId="6" fillId="0" borderId="24" xfId="0" quotePrefix="1" applyFont="1" applyBorder="1" applyAlignment="1">
      <alignment horizontal="center"/>
    </xf>
    <xf numFmtId="0" fontId="6" fillId="0" borderId="23" xfId="0" quotePrefix="1" applyFont="1" applyBorder="1" applyAlignment="1">
      <alignment horizontal="center"/>
    </xf>
    <xf numFmtId="0" fontId="6" fillId="0" borderId="36" xfId="0" applyFont="1" applyBorder="1"/>
    <xf numFmtId="0" fontId="6" fillId="0" borderId="37" xfId="0" applyFont="1" applyBorder="1"/>
    <xf numFmtId="0" fontId="6" fillId="0" borderId="31" xfId="0" applyFont="1" applyBorder="1" applyAlignment="1">
      <alignment horizontal="center"/>
    </xf>
    <xf numFmtId="0" fontId="6" fillId="0" borderId="21" xfId="0" applyFont="1" applyBorder="1" applyAlignment="1">
      <alignment horizontal="center"/>
    </xf>
    <xf numFmtId="0" fontId="6" fillId="4" borderId="22" xfId="0" applyFont="1" applyFill="1" applyBorder="1" applyProtection="1">
      <protection locked="0"/>
    </xf>
    <xf numFmtId="0" fontId="6" fillId="4" borderId="23" xfId="0" applyFont="1" applyFill="1" applyBorder="1" applyProtection="1">
      <protection locked="0"/>
    </xf>
    <xf numFmtId="0" fontId="6" fillId="4" borderId="25" xfId="0" applyFont="1" applyFill="1" applyBorder="1" applyProtection="1">
      <protection locked="0"/>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9" fillId="0" borderId="9" xfId="0" applyFont="1" applyBorder="1" applyAlignment="1">
      <alignment horizont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2" xfId="0" applyFont="1" applyBorder="1" applyAlignment="1">
      <alignment horizontal="center"/>
    </xf>
    <xf numFmtId="0" fontId="6" fillId="0" borderId="47" xfId="0" applyFont="1" applyBorder="1" applyAlignment="1">
      <alignment horizontal="center"/>
    </xf>
    <xf numFmtId="0" fontId="6" fillId="0" borderId="33" xfId="0" applyFont="1" applyBorder="1" applyAlignment="1">
      <alignment horizontal="center" textRotation="60" wrapText="1"/>
    </xf>
    <xf numFmtId="0" fontId="15" fillId="3" borderId="35" xfId="0" applyFont="1" applyFill="1" applyBorder="1" applyAlignment="1">
      <alignment horizontal="center" vertical="center" textRotation="60"/>
    </xf>
    <xf numFmtId="0" fontId="15" fillId="0" borderId="44" xfId="0" applyFont="1" applyBorder="1" applyAlignment="1">
      <alignment horizontal="center"/>
    </xf>
    <xf numFmtId="0" fontId="15" fillId="0" borderId="26" xfId="0" applyFont="1" applyBorder="1" applyAlignment="1">
      <alignment horizontal="center"/>
    </xf>
    <xf numFmtId="0" fontId="15" fillId="0" borderId="27" xfId="0" applyFont="1" applyBorder="1" applyAlignment="1">
      <alignment horizontal="center"/>
    </xf>
    <xf numFmtId="0" fontId="15" fillId="0" borderId="43" xfId="0" applyFont="1" applyBorder="1" applyAlignment="1">
      <alignment horizontal="center"/>
    </xf>
    <xf numFmtId="0" fontId="15" fillId="0" borderId="15" xfId="0" applyFont="1" applyBorder="1" applyAlignment="1">
      <alignment horizontal="center"/>
    </xf>
    <xf numFmtId="0" fontId="15" fillId="0" borderId="16" xfId="0" applyFont="1" applyBorder="1" applyAlignment="1">
      <alignment horizontal="center"/>
    </xf>
    <xf numFmtId="0" fontId="6" fillId="0" borderId="45" xfId="0" applyFont="1" applyFill="1" applyBorder="1" applyAlignment="1">
      <alignment horizontal="center" vertical="center"/>
    </xf>
    <xf numFmtId="0" fontId="6" fillId="0" borderId="42" xfId="0" applyFont="1" applyFill="1" applyBorder="1" applyAlignment="1">
      <alignment horizontal="center" vertical="center"/>
    </xf>
    <xf numFmtId="16" fontId="6" fillId="0" borderId="45" xfId="0" quotePrefix="1" applyNumberFormat="1" applyFont="1" applyFill="1" applyBorder="1" applyAlignment="1">
      <alignment horizontal="center" vertical="center"/>
    </xf>
    <xf numFmtId="0" fontId="1" fillId="0" borderId="2" xfId="0" applyFont="1" applyBorder="1" applyAlignment="1">
      <alignment horizontal="center"/>
    </xf>
    <xf numFmtId="0" fontId="1" fillId="0" borderId="2" xfId="0" applyFont="1" applyBorder="1" applyAlignment="1">
      <alignment horizontal="right"/>
    </xf>
    <xf numFmtId="0" fontId="0" fillId="4" borderId="28" xfId="0" applyFill="1" applyBorder="1" applyAlignment="1" applyProtection="1">
      <protection locked="0"/>
    </xf>
    <xf numFmtId="0" fontId="0" fillId="4" borderId="56" xfId="0" applyFill="1" applyBorder="1" applyAlignment="1" applyProtection="1">
      <protection locked="0"/>
    </xf>
    <xf numFmtId="0" fontId="0" fillId="4" borderId="37" xfId="0" applyFill="1" applyBorder="1" applyAlignment="1" applyProtection="1">
      <protection locked="0"/>
    </xf>
    <xf numFmtId="0" fontId="0" fillId="4" borderId="38" xfId="0" applyFill="1" applyBorder="1" applyAlignment="1" applyProtection="1">
      <protection locked="0"/>
    </xf>
    <xf numFmtId="0" fontId="0" fillId="0" borderId="39" xfId="0" applyBorder="1" applyAlignment="1"/>
    <xf numFmtId="0" fontId="0" fillId="0" borderId="40" xfId="0" applyBorder="1" applyAlignment="1"/>
    <xf numFmtId="0" fontId="0" fillId="0" borderId="51" xfId="0" applyBorder="1" applyAlignment="1"/>
    <xf numFmtId="0" fontId="19" fillId="0" borderId="1" xfId="0" applyFont="1" applyBorder="1" applyAlignment="1">
      <alignment horizontal="center"/>
    </xf>
    <xf numFmtId="0" fontId="19" fillId="0" borderId="2" xfId="0" applyFont="1" applyBorder="1" applyAlignment="1">
      <alignment horizontal="center"/>
    </xf>
    <xf numFmtId="0" fontId="19" fillId="0" borderId="11" xfId="0" applyFont="1" applyBorder="1" applyAlignment="1">
      <alignment horizontal="center"/>
    </xf>
    <xf numFmtId="0" fontId="1" fillId="0" borderId="0" xfId="0" applyFont="1" applyBorder="1" applyAlignment="1">
      <alignment horizontal="center"/>
    </xf>
    <xf numFmtId="0" fontId="20" fillId="0" borderId="2" xfId="0" applyFont="1" applyBorder="1" applyAlignment="1">
      <alignment horizontal="center"/>
    </xf>
    <xf numFmtId="0" fontId="20" fillId="0" borderId="11"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11" xfId="0" applyFont="1" applyBorder="1" applyAlignment="1">
      <alignment horizontal="center"/>
    </xf>
    <xf numFmtId="0" fontId="6" fillId="0" borderId="6" xfId="0" applyFont="1" applyBorder="1" applyAlignment="1">
      <alignment horizontal="center" vertical="center" textRotation="90" wrapText="1"/>
    </xf>
    <xf numFmtId="0" fontId="6" fillId="0" borderId="8" xfId="0" applyFont="1" applyBorder="1" applyAlignment="1">
      <alignment horizontal="center" vertical="center" textRotation="90" wrapText="1"/>
    </xf>
    <xf numFmtId="0" fontId="6" fillId="0" borderId="54" xfId="0" applyFont="1" applyBorder="1" applyAlignment="1">
      <alignment horizontal="center" vertical="center" textRotation="90"/>
    </xf>
    <xf numFmtId="0" fontId="6" fillId="0" borderId="72" xfId="0" applyFont="1" applyBorder="1" applyAlignment="1">
      <alignment horizontal="center" vertical="center" textRotation="90"/>
    </xf>
    <xf numFmtId="0" fontId="6" fillId="0" borderId="72" xfId="0" applyFont="1" applyBorder="1" applyAlignment="1">
      <alignment horizontal="center" vertical="center" textRotation="88"/>
    </xf>
    <xf numFmtId="0" fontId="6" fillId="0" borderId="57" xfId="0" applyFont="1" applyBorder="1" applyAlignment="1">
      <alignment horizontal="center" vertical="center" textRotation="88"/>
    </xf>
    <xf numFmtId="0" fontId="6" fillId="0" borderId="57" xfId="0" applyFont="1" applyBorder="1" applyAlignment="1">
      <alignment horizontal="center" vertical="center" textRotation="90"/>
    </xf>
    <xf numFmtId="0" fontId="6" fillId="0" borderId="60" xfId="0" applyFont="1" applyBorder="1" applyAlignment="1">
      <alignment horizontal="center" vertical="center" textRotation="90"/>
    </xf>
    <xf numFmtId="0" fontId="6" fillId="0" borderId="61" xfId="0" applyFont="1" applyBorder="1" applyAlignment="1">
      <alignment horizontal="center" vertical="center" textRotation="90"/>
    </xf>
    <xf numFmtId="49" fontId="0" fillId="0" borderId="15" xfId="0" applyNumberFormat="1" applyBorder="1" applyAlignment="1"/>
    <xf numFmtId="49" fontId="0" fillId="0" borderId="16" xfId="0" applyNumberFormat="1" applyBorder="1" applyAlignment="1"/>
    <xf numFmtId="49" fontId="0" fillId="0" borderId="26" xfId="0" applyNumberFormat="1" applyBorder="1" applyAlignment="1"/>
    <xf numFmtId="49" fontId="0" fillId="0" borderId="27" xfId="0" applyNumberFormat="1" applyBorder="1" applyAlignment="1"/>
    <xf numFmtId="49" fontId="0" fillId="0" borderId="0" xfId="0" applyNumberFormat="1" applyBorder="1" applyAlignment="1"/>
    <xf numFmtId="49" fontId="0" fillId="0" borderId="7" xfId="0" applyNumberFormat="1" applyBorder="1" applyAlignment="1"/>
    <xf numFmtId="49" fontId="0" fillId="0" borderId="9" xfId="0" applyNumberFormat="1" applyBorder="1" applyAlignment="1"/>
    <xf numFmtId="49" fontId="0" fillId="0" borderId="10" xfId="0" applyNumberFormat="1" applyBorder="1" applyAlignment="1"/>
    <xf numFmtId="0" fontId="30" fillId="6" borderId="39" xfId="0" applyFont="1" applyFill="1" applyBorder="1" applyAlignment="1">
      <alignment horizontal="center"/>
    </xf>
    <xf numFmtId="0" fontId="30" fillId="6" borderId="85" xfId="0" applyFont="1" applyFill="1" applyBorder="1" applyAlignment="1">
      <alignment horizontal="center"/>
    </xf>
    <xf numFmtId="49" fontId="0" fillId="0" borderId="2" xfId="0" applyNumberFormat="1" applyBorder="1" applyAlignment="1"/>
    <xf numFmtId="49" fontId="0" fillId="0" borderId="11" xfId="0" applyNumberFormat="1" applyBorder="1" applyAlignment="1"/>
    <xf numFmtId="49" fontId="0" fillId="0" borderId="2" xfId="0" applyNumberFormat="1" applyBorder="1"/>
    <xf numFmtId="49" fontId="0" fillId="0" borderId="11" xfId="0" applyNumberFormat="1" applyBorder="1"/>
    <xf numFmtId="49" fontId="0" fillId="0" borderId="0" xfId="0" applyNumberFormat="1" applyBorder="1"/>
    <xf numFmtId="49" fontId="0" fillId="0" borderId="7" xfId="0" applyNumberFormat="1" applyBorder="1"/>
    <xf numFmtId="49" fontId="0" fillId="0" borderId="15" xfId="0" applyNumberFormat="1" applyBorder="1"/>
    <xf numFmtId="49" fontId="0" fillId="0" borderId="16" xfId="0" applyNumberFormat="1" applyBorder="1"/>
    <xf numFmtId="49" fontId="0" fillId="0" borderId="26" xfId="0" applyNumberFormat="1" applyBorder="1"/>
    <xf numFmtId="49" fontId="0" fillId="0" borderId="27" xfId="0" applyNumberFormat="1" applyBorder="1"/>
    <xf numFmtId="49" fontId="0" fillId="0" borderId="9" xfId="0" applyNumberFormat="1" applyBorder="1"/>
    <xf numFmtId="49" fontId="0" fillId="0" borderId="10" xfId="0" applyNumberFormat="1" applyBorder="1"/>
    <xf numFmtId="49" fontId="0" fillId="0" borderId="0" xfId="0" applyNumberFormat="1" applyBorder="1" applyAlignment="1">
      <alignment vertical="top"/>
    </xf>
    <xf numFmtId="49" fontId="0" fillId="0" borderId="7" xfId="0" applyNumberFormat="1" applyBorder="1" applyAlignment="1">
      <alignment vertical="top"/>
    </xf>
    <xf numFmtId="49" fontId="0" fillId="0" borderId="9" xfId="0" applyNumberFormat="1" applyBorder="1" applyAlignment="1">
      <alignment vertical="top"/>
    </xf>
    <xf numFmtId="49" fontId="0" fillId="0" borderId="10" xfId="0" applyNumberFormat="1" applyBorder="1" applyAlignment="1">
      <alignment vertical="top"/>
    </xf>
    <xf numFmtId="49" fontId="0" fillId="0" borderId="0" xfId="0" quotePrefix="1" applyNumberFormat="1" applyBorder="1" applyAlignment="1"/>
    <xf numFmtId="49" fontId="0" fillId="0" borderId="7" xfId="0" quotePrefix="1" applyNumberFormat="1" applyBorder="1" applyAlignment="1"/>
    <xf numFmtId="49" fontId="0" fillId="0" borderId="0" xfId="0" applyNumberFormat="1" applyFill="1" applyBorder="1" applyAlignment="1">
      <alignment vertical="top"/>
    </xf>
    <xf numFmtId="49" fontId="0" fillId="0" borderId="7" xfId="0" applyNumberFormat="1" applyFill="1" applyBorder="1" applyAlignment="1">
      <alignment vertical="top"/>
    </xf>
    <xf numFmtId="49" fontId="0" fillId="0" borderId="15" xfId="0" applyNumberFormat="1" applyFill="1" applyBorder="1" applyAlignment="1">
      <alignment vertical="top"/>
    </xf>
    <xf numFmtId="49" fontId="0" fillId="0" borderId="16" xfId="0" applyNumberFormat="1" applyFill="1" applyBorder="1" applyAlignment="1">
      <alignment vertical="top"/>
    </xf>
    <xf numFmtId="49" fontId="0" fillId="0" borderId="26" xfId="0" applyNumberFormat="1" applyFill="1" applyBorder="1" applyAlignment="1">
      <alignment vertical="top"/>
    </xf>
    <xf numFmtId="49" fontId="0" fillId="0" borderId="27" xfId="0" applyNumberFormat="1" applyFill="1" applyBorder="1" applyAlignment="1">
      <alignment vertical="top"/>
    </xf>
    <xf numFmtId="0" fontId="28" fillId="6" borderId="39" xfId="0" applyFont="1" applyFill="1" applyBorder="1" applyAlignment="1"/>
    <xf numFmtId="0" fontId="28" fillId="6" borderId="40" xfId="0" applyFont="1" applyFill="1" applyBorder="1" applyAlignment="1"/>
    <xf numFmtId="0" fontId="28" fillId="6" borderId="41" xfId="0" applyFont="1" applyFill="1" applyBorder="1" applyAlignment="1"/>
    <xf numFmtId="0" fontId="0" fillId="0" borderId="2" xfId="0" applyBorder="1" applyAlignment="1"/>
    <xf numFmtId="0" fontId="0" fillId="0" borderId="11" xfId="0" applyBorder="1" applyAlignment="1"/>
    <xf numFmtId="0" fontId="0" fillId="0" borderId="0" xfId="0" applyBorder="1" applyAlignment="1"/>
    <xf numFmtId="0" fontId="0" fillId="0" borderId="0" xfId="0" applyAlignment="1"/>
    <xf numFmtId="0" fontId="0" fillId="0" borderId="7" xfId="0" applyBorder="1" applyAlignment="1"/>
    <xf numFmtId="0" fontId="24" fillId="0" borderId="1" xfId="0" applyFont="1" applyBorder="1" applyAlignment="1">
      <alignment vertical="center"/>
    </xf>
    <xf numFmtId="0" fontId="0" fillId="0" borderId="68" xfId="0" applyBorder="1" applyAlignment="1">
      <alignment vertical="center"/>
    </xf>
    <xf numFmtId="0" fontId="0" fillId="0" borderId="8" xfId="0" applyBorder="1" applyAlignment="1">
      <alignment vertical="center"/>
    </xf>
    <xf numFmtId="0" fontId="24" fillId="0" borderId="68" xfId="0" applyFont="1" applyBorder="1" applyAlignment="1">
      <alignment vertical="center"/>
    </xf>
    <xf numFmtId="0" fontId="0" fillId="0" borderId="68" xfId="0" applyBorder="1" applyAlignment="1"/>
    <xf numFmtId="0" fontId="0" fillId="0" borderId="9" xfId="0" applyBorder="1" applyAlignment="1"/>
    <xf numFmtId="0" fontId="0" fillId="0" borderId="10" xfId="0" applyBorder="1" applyAlignment="1"/>
    <xf numFmtId="49" fontId="0" fillId="0" borderId="2" xfId="0" quotePrefix="1" applyNumberFormat="1" applyBorder="1" applyAlignment="1"/>
    <xf numFmtId="49" fontId="0" fillId="0" borderId="11" xfId="0" quotePrefix="1" applyNumberFormat="1" applyBorder="1" applyAlignment="1"/>
    <xf numFmtId="0" fontId="9" fillId="0" borderId="1" xfId="0" applyFont="1" applyBorder="1"/>
    <xf numFmtId="0" fontId="6" fillId="4" borderId="4" xfId="0" applyFont="1" applyFill="1" applyBorder="1" applyAlignment="1" applyProtection="1">
      <protection locked="0"/>
    </xf>
    <xf numFmtId="0" fontId="0" fillId="4" borderId="4" xfId="0" applyFill="1" applyBorder="1" applyAlignment="1" applyProtection="1">
      <protection locked="0"/>
    </xf>
    <xf numFmtId="0" fontId="0" fillId="4" borderId="5" xfId="0" applyFill="1" applyBorder="1" applyAlignment="1" applyProtection="1">
      <protection locked="0"/>
    </xf>
  </cellXfs>
  <cellStyles count="5">
    <cellStyle name="Comma" xfId="4" builtinId="3"/>
    <cellStyle name="Normal" xfId="0" builtinId="0"/>
    <cellStyle name="Normal 2" xfId="1"/>
    <cellStyle name="Normal 3" xfId="2"/>
    <cellStyle name="Normal 4" xfId="3"/>
  </cellStyles>
  <dxfs count="24">
    <dxf>
      <fill>
        <patternFill>
          <bgColor theme="7" tint="0.79998168889431442"/>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ill>
        <patternFill>
          <bgColor theme="6" tint="0.59996337778862885"/>
        </patternFill>
      </fill>
    </dxf>
    <dxf>
      <font>
        <b/>
        <i val="0"/>
      </font>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theme="6"/>
        </patternFill>
      </fill>
    </dxf>
    <dxf>
      <fill>
        <patternFill>
          <bgColor theme="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zoomScaleNormal="100" workbookViewId="0">
      <selection activeCell="D10" sqref="D10:E10"/>
    </sheetView>
  </sheetViews>
  <sheetFormatPr defaultRowHeight="15" x14ac:dyDescent="0.25"/>
  <cols>
    <col min="1" max="1" width="4.5703125" style="9" customWidth="1"/>
    <col min="2" max="2" width="3.42578125" style="56" customWidth="1"/>
    <col min="3" max="3" width="68.85546875" style="9" customWidth="1"/>
    <col min="4" max="5" width="18" style="9" customWidth="1"/>
    <col min="6" max="8" width="21.7109375" style="9" customWidth="1"/>
    <col min="9" max="9" width="17.5703125" style="9" customWidth="1"/>
    <col min="10" max="16384" width="9.140625" style="9"/>
  </cols>
  <sheetData>
    <row r="1" spans="2:6" ht="15.75" thickBot="1" x14ac:dyDescent="0.3"/>
    <row r="2" spans="2:6" ht="18.75" x14ac:dyDescent="0.3">
      <c r="B2" s="492" t="s">
        <v>245</v>
      </c>
      <c r="C2" s="493"/>
      <c r="D2" s="493"/>
      <c r="E2" s="493"/>
      <c r="F2" s="494"/>
    </row>
    <row r="3" spans="2:6" x14ac:dyDescent="0.25">
      <c r="B3" s="495" t="s">
        <v>688</v>
      </c>
      <c r="C3" s="496"/>
      <c r="D3" s="496"/>
      <c r="E3" s="496"/>
      <c r="F3" s="497"/>
    </row>
    <row r="4" spans="2:6" x14ac:dyDescent="0.25">
      <c r="B4" s="498" t="s">
        <v>246</v>
      </c>
      <c r="C4" s="499"/>
      <c r="D4" s="499"/>
      <c r="E4" s="499"/>
      <c r="F4" s="500"/>
    </row>
    <row r="5" spans="2:6" x14ac:dyDescent="0.25">
      <c r="B5" s="54"/>
      <c r="F5" s="57"/>
    </row>
    <row r="6" spans="2:6" x14ac:dyDescent="0.25">
      <c r="B6" s="54"/>
      <c r="C6" s="7" t="s">
        <v>247</v>
      </c>
      <c r="D6" s="7"/>
      <c r="E6" s="7"/>
      <c r="F6" s="57"/>
    </row>
    <row r="7" spans="2:6" ht="15.75" x14ac:dyDescent="0.25">
      <c r="B7" s="54">
        <v>1</v>
      </c>
      <c r="C7" s="9" t="s">
        <v>621</v>
      </c>
      <c r="D7" s="503"/>
      <c r="E7" s="504"/>
      <c r="F7" s="57"/>
    </row>
    <row r="8" spans="2:6" ht="15.75" x14ac:dyDescent="0.25">
      <c r="B8" s="54">
        <v>2</v>
      </c>
      <c r="C8" s="108" t="s">
        <v>622</v>
      </c>
      <c r="D8" s="503"/>
      <c r="E8" s="504"/>
      <c r="F8" s="57"/>
    </row>
    <row r="9" spans="2:6" ht="15.75" x14ac:dyDescent="0.25">
      <c r="B9" s="41">
        <v>3</v>
      </c>
      <c r="C9" s="108" t="s">
        <v>625</v>
      </c>
      <c r="D9" s="505"/>
      <c r="E9" s="506"/>
      <c r="F9" s="57"/>
    </row>
    <row r="10" spans="2:6" ht="15.75" x14ac:dyDescent="0.25">
      <c r="B10" s="41">
        <v>4</v>
      </c>
      <c r="C10" s="306" t="s">
        <v>696</v>
      </c>
      <c r="D10" s="505" t="s">
        <v>116</v>
      </c>
      <c r="E10" s="506"/>
      <c r="F10" s="57"/>
    </row>
    <row r="11" spans="2:6" ht="15.75" x14ac:dyDescent="0.25">
      <c r="B11" s="133">
        <v>5</v>
      </c>
      <c r="C11" s="108" t="s">
        <v>626</v>
      </c>
      <c r="D11" s="501"/>
      <c r="E11" s="502"/>
      <c r="F11" s="57"/>
    </row>
    <row r="12" spans="2:6" ht="15.75" customHeight="1" x14ac:dyDescent="0.25">
      <c r="B12" s="41">
        <v>6</v>
      </c>
      <c r="C12" s="483" t="s">
        <v>912</v>
      </c>
      <c r="D12" s="501" t="s">
        <v>38</v>
      </c>
      <c r="E12" s="502"/>
      <c r="F12" s="57"/>
    </row>
    <row r="13" spans="2:6" ht="17.25" customHeight="1" x14ac:dyDescent="0.25">
      <c r="B13" s="133"/>
      <c r="C13" s="483"/>
      <c r="D13" s="108"/>
      <c r="E13" s="108"/>
      <c r="F13" s="57"/>
    </row>
    <row r="14" spans="2:6" x14ac:dyDescent="0.25">
      <c r="B14" s="41">
        <v>7</v>
      </c>
      <c r="C14" s="487" t="s">
        <v>683</v>
      </c>
      <c r="D14" s="487"/>
      <c r="E14" s="487"/>
      <c r="F14" s="488"/>
    </row>
    <row r="15" spans="2:6" ht="15.75" thickBot="1" x14ac:dyDescent="0.3">
      <c r="B15" s="133">
        <v>8</v>
      </c>
      <c r="C15" s="487" t="s">
        <v>684</v>
      </c>
      <c r="D15" s="487"/>
      <c r="E15" s="487"/>
      <c r="F15" s="488"/>
    </row>
    <row r="16" spans="2:6" ht="15.75" thickBot="1" x14ac:dyDescent="0.3">
      <c r="B16" s="133"/>
      <c r="C16" s="306" t="s">
        <v>685</v>
      </c>
      <c r="D16" s="238" t="str">
        <f>IF(Culture="","",VLOOKUP("Craft/Comp/PA: Choice1",CultureRanks,MATCH(Culture,CultureList,0)+1,FALSE))</f>
        <v/>
      </c>
      <c r="E16" s="238" t="str">
        <f>IF(Culture="","",VLOOKUP("Craft/Comp/PA: Choice2",CultureRanks,MATCH(Culture,CultureList,0)+1,FALSE))</f>
        <v/>
      </c>
      <c r="F16" s="57"/>
    </row>
    <row r="17" spans="2:6" ht="4.5" customHeight="1" x14ac:dyDescent="0.25">
      <c r="B17" s="133"/>
      <c r="C17" s="108"/>
      <c r="D17" s="237"/>
      <c r="E17" s="237"/>
      <c r="F17" s="57"/>
    </row>
    <row r="18" spans="2:6" x14ac:dyDescent="0.25">
      <c r="B18" s="41">
        <v>9</v>
      </c>
      <c r="C18" s="487" t="s">
        <v>686</v>
      </c>
      <c r="D18" s="487"/>
      <c r="E18" s="487"/>
      <c r="F18" s="488"/>
    </row>
    <row r="19" spans="2:6" x14ac:dyDescent="0.25">
      <c r="B19" s="41">
        <v>10</v>
      </c>
      <c r="C19" s="487" t="s">
        <v>633</v>
      </c>
      <c r="D19" s="487"/>
      <c r="E19" s="487"/>
      <c r="F19" s="488"/>
    </row>
    <row r="20" spans="2:6" x14ac:dyDescent="0.25">
      <c r="B20" s="41">
        <v>11</v>
      </c>
      <c r="C20" s="487" t="s">
        <v>910</v>
      </c>
      <c r="D20" s="487"/>
      <c r="E20" s="487"/>
      <c r="F20" s="488"/>
    </row>
    <row r="21" spans="2:6" x14ac:dyDescent="0.25">
      <c r="B21" s="133"/>
      <c r="C21" s="487" t="s">
        <v>911</v>
      </c>
      <c r="D21" s="487"/>
      <c r="E21" s="487"/>
      <c r="F21" s="488"/>
    </row>
    <row r="22" spans="2:6" x14ac:dyDescent="0.25">
      <c r="B22" s="41">
        <v>12</v>
      </c>
      <c r="C22" s="487" t="s">
        <v>689</v>
      </c>
      <c r="D22" s="487"/>
      <c r="E22" s="487"/>
      <c r="F22" s="488"/>
    </row>
    <row r="23" spans="2:6" x14ac:dyDescent="0.25">
      <c r="B23" s="133">
        <v>13</v>
      </c>
      <c r="C23" s="487" t="s">
        <v>634</v>
      </c>
      <c r="D23" s="487"/>
      <c r="E23" s="487"/>
      <c r="F23" s="488"/>
    </row>
    <row r="24" spans="2:6" ht="15" customHeight="1" x14ac:dyDescent="0.25">
      <c r="B24" s="133">
        <v>14</v>
      </c>
      <c r="C24" s="483" t="s">
        <v>690</v>
      </c>
      <c r="D24" s="483"/>
      <c r="E24" s="483"/>
      <c r="F24" s="489"/>
    </row>
    <row r="25" spans="2:6" ht="30.75" customHeight="1" x14ac:dyDescent="0.25">
      <c r="B25" s="133"/>
      <c r="C25" s="483"/>
      <c r="D25" s="483"/>
      <c r="E25" s="483"/>
      <c r="F25" s="489"/>
    </row>
    <row r="26" spans="2:6" x14ac:dyDescent="0.25">
      <c r="B26" s="54"/>
      <c r="C26" s="108"/>
      <c r="D26" s="108"/>
      <c r="E26" s="108"/>
      <c r="F26" s="57"/>
    </row>
    <row r="27" spans="2:6" x14ac:dyDescent="0.25">
      <c r="B27" s="54"/>
      <c r="C27" s="7" t="s">
        <v>623</v>
      </c>
      <c r="D27" s="7"/>
      <c r="E27" s="7"/>
      <c r="F27" s="57"/>
    </row>
    <row r="28" spans="2:6" x14ac:dyDescent="0.25">
      <c r="B28" s="134">
        <v>1</v>
      </c>
      <c r="C28" s="507" t="s">
        <v>624</v>
      </c>
      <c r="D28" s="507"/>
      <c r="E28" s="507"/>
      <c r="F28" s="508"/>
    </row>
    <row r="29" spans="2:6" x14ac:dyDescent="0.25">
      <c r="B29" s="54">
        <v>2</v>
      </c>
      <c r="C29" s="507" t="s">
        <v>908</v>
      </c>
      <c r="D29" s="507"/>
      <c r="E29" s="507"/>
      <c r="F29" s="508"/>
    </row>
    <row r="30" spans="2:6" x14ac:dyDescent="0.25">
      <c r="B30" s="134"/>
      <c r="C30" s="487" t="s">
        <v>909</v>
      </c>
      <c r="D30" s="487"/>
      <c r="E30" s="487"/>
      <c r="F30" s="488"/>
    </row>
    <row r="31" spans="2:6" x14ac:dyDescent="0.25">
      <c r="B31" s="54">
        <v>3</v>
      </c>
      <c r="C31" s="507" t="s">
        <v>677</v>
      </c>
      <c r="D31" s="507"/>
      <c r="E31" s="507"/>
      <c r="F31" s="508"/>
    </row>
    <row r="32" spans="2:6" x14ac:dyDescent="0.25">
      <c r="B32" s="54">
        <v>4</v>
      </c>
      <c r="C32" s="487" t="s">
        <v>691</v>
      </c>
      <c r="D32" s="487"/>
      <c r="E32" s="487"/>
      <c r="F32" s="488"/>
    </row>
    <row r="33" spans="2:6" x14ac:dyDescent="0.25">
      <c r="B33" s="41"/>
      <c r="F33" s="57"/>
    </row>
    <row r="34" spans="2:6" x14ac:dyDescent="0.25">
      <c r="B34" s="54"/>
      <c r="C34" s="109" t="s">
        <v>370</v>
      </c>
      <c r="D34" s="109"/>
      <c r="E34" s="109"/>
      <c r="F34" s="57"/>
    </row>
    <row r="35" spans="2:6" x14ac:dyDescent="0.25">
      <c r="B35" s="54">
        <v>1</v>
      </c>
      <c r="C35" s="487" t="s">
        <v>678</v>
      </c>
      <c r="D35" s="487"/>
      <c r="E35" s="487"/>
      <c r="F35" s="488"/>
    </row>
    <row r="36" spans="2:6" x14ac:dyDescent="0.25">
      <c r="B36" s="54">
        <v>2</v>
      </c>
      <c r="C36" s="487" t="s">
        <v>679</v>
      </c>
      <c r="D36" s="487"/>
      <c r="E36" s="487"/>
      <c r="F36" s="488"/>
    </row>
    <row r="37" spans="2:6" x14ac:dyDescent="0.25">
      <c r="B37" s="54">
        <v>3</v>
      </c>
      <c r="C37" s="487" t="s">
        <v>907</v>
      </c>
      <c r="D37" s="487"/>
      <c r="E37" s="487"/>
      <c r="F37" s="488"/>
    </row>
    <row r="38" spans="2:6" x14ac:dyDescent="0.25">
      <c r="B38" s="54">
        <v>4</v>
      </c>
      <c r="C38" s="487" t="s">
        <v>680</v>
      </c>
      <c r="D38" s="487"/>
      <c r="E38" s="487"/>
      <c r="F38" s="488"/>
    </row>
    <row r="39" spans="2:6" x14ac:dyDescent="0.25">
      <c r="B39" s="54">
        <v>5</v>
      </c>
      <c r="C39" s="487" t="s">
        <v>681</v>
      </c>
      <c r="D39" s="487"/>
      <c r="E39" s="487"/>
      <c r="F39" s="488"/>
    </row>
    <row r="40" spans="2:6" x14ac:dyDescent="0.25">
      <c r="B40" s="54">
        <v>6</v>
      </c>
      <c r="C40" s="487" t="s">
        <v>692</v>
      </c>
      <c r="D40" s="487"/>
      <c r="E40" s="487"/>
      <c r="F40" s="488"/>
    </row>
    <row r="41" spans="2:6" ht="32.25" customHeight="1" x14ac:dyDescent="0.25">
      <c r="B41" s="272">
        <v>7</v>
      </c>
      <c r="C41" s="483" t="s">
        <v>906</v>
      </c>
      <c r="D41" s="483"/>
      <c r="E41" s="483"/>
      <c r="F41" s="489"/>
    </row>
    <row r="42" spans="2:6" ht="108.75" customHeight="1" x14ac:dyDescent="0.25">
      <c r="B42" s="272">
        <v>8</v>
      </c>
      <c r="C42" s="483" t="s">
        <v>915</v>
      </c>
      <c r="D42" s="483"/>
      <c r="E42" s="483"/>
      <c r="F42" s="489"/>
    </row>
    <row r="43" spans="2:6" s="307" customFormat="1" ht="32.25" customHeight="1" x14ac:dyDescent="0.25">
      <c r="B43" s="272">
        <v>9</v>
      </c>
      <c r="C43" s="483" t="s">
        <v>687</v>
      </c>
      <c r="D43" s="483"/>
      <c r="E43" s="483"/>
      <c r="F43" s="489"/>
    </row>
    <row r="44" spans="2:6" ht="15" customHeight="1" x14ac:dyDescent="0.25">
      <c r="B44" s="270"/>
      <c r="C44" s="280"/>
      <c r="D44" s="281"/>
      <c r="F44" s="57"/>
    </row>
    <row r="45" spans="2:6" x14ac:dyDescent="0.25">
      <c r="B45" s="270"/>
      <c r="C45" s="271" t="s">
        <v>51</v>
      </c>
      <c r="D45" s="281"/>
      <c r="F45" s="57"/>
    </row>
    <row r="46" spans="2:6" x14ac:dyDescent="0.25">
      <c r="B46" s="270">
        <v>1</v>
      </c>
      <c r="C46" s="485" t="s">
        <v>693</v>
      </c>
      <c r="D46" s="485"/>
      <c r="E46" s="485"/>
      <c r="F46" s="486"/>
    </row>
    <row r="47" spans="2:6" x14ac:dyDescent="0.25">
      <c r="B47" s="270">
        <v>2</v>
      </c>
      <c r="C47" s="485" t="s">
        <v>738</v>
      </c>
      <c r="D47" s="485"/>
      <c r="E47" s="485"/>
      <c r="F47" s="486"/>
    </row>
    <row r="48" spans="2:6" x14ac:dyDescent="0.25">
      <c r="B48" s="270">
        <v>3</v>
      </c>
      <c r="C48" s="485" t="s">
        <v>694</v>
      </c>
      <c r="D48" s="485"/>
      <c r="E48" s="485"/>
      <c r="F48" s="486"/>
    </row>
    <row r="49" spans="1:6" x14ac:dyDescent="0.25">
      <c r="B49" s="270">
        <v>4</v>
      </c>
      <c r="C49" s="485" t="s">
        <v>695</v>
      </c>
      <c r="D49" s="485"/>
      <c r="E49" s="485"/>
      <c r="F49" s="486"/>
    </row>
    <row r="50" spans="1:6" x14ac:dyDescent="0.25">
      <c r="B50" s="270">
        <v>5</v>
      </c>
      <c r="C50" s="485" t="s">
        <v>682</v>
      </c>
      <c r="D50" s="485"/>
      <c r="E50" s="485"/>
      <c r="F50" s="486"/>
    </row>
    <row r="51" spans="1:6" ht="15" customHeight="1" x14ac:dyDescent="0.25">
      <c r="A51" s="57"/>
      <c r="B51" s="273">
        <v>6</v>
      </c>
      <c r="C51" s="483" t="s">
        <v>739</v>
      </c>
      <c r="D51" s="483"/>
      <c r="E51" s="483"/>
      <c r="F51" s="489"/>
    </row>
    <row r="52" spans="1:6" x14ac:dyDescent="0.25">
      <c r="A52" s="57"/>
      <c r="C52" s="483"/>
      <c r="D52" s="483"/>
      <c r="E52" s="483"/>
      <c r="F52" s="489"/>
    </row>
    <row r="53" spans="1:6" ht="15.75" thickBot="1" x14ac:dyDescent="0.3">
      <c r="A53" s="57"/>
      <c r="B53" s="242"/>
      <c r="C53" s="490"/>
      <c r="D53" s="490"/>
      <c r="E53" s="490"/>
      <c r="F53" s="491"/>
    </row>
    <row r="54" spans="1:6" x14ac:dyDescent="0.25">
      <c r="B54" s="241"/>
      <c r="C54" s="269"/>
      <c r="D54" s="269"/>
      <c r="E54" s="269"/>
      <c r="F54" s="274"/>
    </row>
    <row r="55" spans="1:6" x14ac:dyDescent="0.25">
      <c r="B55" s="101" t="s">
        <v>341</v>
      </c>
    </row>
    <row r="56" spans="1:6" x14ac:dyDescent="0.25">
      <c r="B56" s="484" t="s">
        <v>342</v>
      </c>
      <c r="C56" s="484"/>
      <c r="D56" s="484"/>
      <c r="E56" s="484"/>
      <c r="F56" s="484"/>
    </row>
    <row r="57" spans="1:6" x14ac:dyDescent="0.25">
      <c r="B57" s="484" t="s">
        <v>343</v>
      </c>
      <c r="C57" s="484"/>
      <c r="D57" s="484"/>
      <c r="E57" s="484"/>
      <c r="F57" s="484"/>
    </row>
    <row r="58" spans="1:6" x14ac:dyDescent="0.25">
      <c r="B58" s="484" t="s">
        <v>344</v>
      </c>
      <c r="C58" s="484"/>
      <c r="D58" s="484"/>
      <c r="E58" s="484"/>
      <c r="F58" s="484"/>
    </row>
    <row r="59" spans="1:6" x14ac:dyDescent="0.25">
      <c r="B59" s="484" t="s">
        <v>412</v>
      </c>
      <c r="C59" s="484"/>
      <c r="D59" s="484"/>
      <c r="E59" s="484"/>
      <c r="F59" s="484"/>
    </row>
    <row r="60" spans="1:6" x14ac:dyDescent="0.25">
      <c r="B60" s="484" t="s">
        <v>658</v>
      </c>
      <c r="C60" s="484"/>
      <c r="D60" s="484"/>
      <c r="E60" s="484"/>
      <c r="F60" s="484"/>
    </row>
    <row r="61" spans="1:6" x14ac:dyDescent="0.25">
      <c r="B61" s="482" t="s">
        <v>635</v>
      </c>
      <c r="C61" s="482"/>
      <c r="D61" s="482"/>
      <c r="E61" s="482"/>
      <c r="F61" s="482"/>
    </row>
  </sheetData>
  <mergeCells count="45">
    <mergeCell ref="C46:F46"/>
    <mergeCell ref="C47:F47"/>
    <mergeCell ref="C50:F50"/>
    <mergeCell ref="C48:F48"/>
    <mergeCell ref="C24:F25"/>
    <mergeCell ref="C42:F42"/>
    <mergeCell ref="C31:F31"/>
    <mergeCell ref="C32:F32"/>
    <mergeCell ref="C35:F35"/>
    <mergeCell ref="C36:F36"/>
    <mergeCell ref="C28:F28"/>
    <mergeCell ref="C29:F29"/>
    <mergeCell ref="C30:F30"/>
    <mergeCell ref="B2:F2"/>
    <mergeCell ref="B3:F3"/>
    <mergeCell ref="B4:F4"/>
    <mergeCell ref="C22:F22"/>
    <mergeCell ref="C23:F23"/>
    <mergeCell ref="C15:F15"/>
    <mergeCell ref="C18:F18"/>
    <mergeCell ref="C19:F19"/>
    <mergeCell ref="C20:F20"/>
    <mergeCell ref="C21:F21"/>
    <mergeCell ref="D12:E12"/>
    <mergeCell ref="D7:E7"/>
    <mergeCell ref="D8:E8"/>
    <mergeCell ref="D9:E9"/>
    <mergeCell ref="D10:E10"/>
    <mergeCell ref="D11:E11"/>
    <mergeCell ref="B61:F61"/>
    <mergeCell ref="C12:C13"/>
    <mergeCell ref="B56:F56"/>
    <mergeCell ref="B57:F57"/>
    <mergeCell ref="B58:F58"/>
    <mergeCell ref="B59:F59"/>
    <mergeCell ref="B60:F60"/>
    <mergeCell ref="C49:F49"/>
    <mergeCell ref="C37:F37"/>
    <mergeCell ref="C38:F38"/>
    <mergeCell ref="C39:F39"/>
    <mergeCell ref="C40:F40"/>
    <mergeCell ref="C41:F41"/>
    <mergeCell ref="C43:F43"/>
    <mergeCell ref="C51:F53"/>
    <mergeCell ref="C14:F14"/>
  </mergeCells>
  <dataValidations count="4">
    <dataValidation type="list" allowBlank="1" showInputMessage="1" showErrorMessage="1" sqref="D9:E9">
      <formula1>RaceList</formula1>
    </dataValidation>
    <dataValidation type="list" allowBlank="1" showInputMessage="1" showErrorMessage="1" sqref="D10:E10">
      <formula1>Professions</formula1>
    </dataValidation>
    <dataValidation type="list" allowBlank="1" showInputMessage="1" showErrorMessage="1" sqref="D11:E11">
      <formula1>CultureList</formula1>
    </dataValidation>
    <dataValidation type="list" allowBlank="1" showInputMessage="1" showErrorMessage="1" sqref="D12:E12">
      <formula1>"Channeling,Essence,Mentalism,Channeling/Essence,Channeling/Mentalism,Essence/Mentalism,Channeling/Essence/Mentalism"</formula1>
    </dataValidation>
  </dataValidations>
  <pageMargins left="0.7" right="0.7" top="0.75" bottom="0.75" header="0.3" footer="0.3"/>
  <pageSetup scale="88" orientation="portrait" verticalDpi="36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75"/>
  <sheetViews>
    <sheetView showGridLines="0" zoomScale="115" zoomScaleNormal="115" workbookViewId="0">
      <selection activeCell="T11" sqref="T11"/>
    </sheetView>
  </sheetViews>
  <sheetFormatPr defaultColWidth="6.28515625" defaultRowHeight="15" x14ac:dyDescent="0.25"/>
  <cols>
    <col min="1" max="1" width="12.140625" style="3" customWidth="1"/>
    <col min="2" max="2" width="7.140625" style="3" customWidth="1"/>
    <col min="3" max="4" width="6.28515625" style="3"/>
    <col min="5" max="5" width="6.7109375" style="3" customWidth="1"/>
    <col min="6" max="6" width="6.7109375" style="4" bestFit="1" customWidth="1"/>
    <col min="7" max="7" width="6.28515625" style="3"/>
    <col min="8" max="8" width="13.85546875" style="3" customWidth="1"/>
    <col min="9" max="12" width="8.28515625" style="3" customWidth="1"/>
    <col min="13" max="13" width="8.7109375" style="3" bestFit="1" customWidth="1"/>
    <col min="14" max="14" width="8.28515625" style="3" customWidth="1"/>
    <col min="15" max="15" width="10" style="3" bestFit="1" customWidth="1"/>
    <col min="16" max="16" width="8.28515625" style="3" customWidth="1"/>
    <col min="17" max="17" width="10.42578125" style="3" bestFit="1" customWidth="1"/>
    <col min="18" max="18" width="9.28515625" style="3" customWidth="1"/>
    <col min="19" max="19" width="12.5703125" style="3" customWidth="1"/>
    <col min="20" max="20" width="4.7109375" style="47" customWidth="1"/>
    <col min="21" max="39" width="5.7109375" style="47" customWidth="1"/>
    <col min="40" max="40" width="5.7109375" style="3" customWidth="1"/>
    <col min="41" max="44" width="5.7109375" style="47" customWidth="1"/>
    <col min="45" max="45" width="6.140625" style="47" customWidth="1"/>
    <col min="46" max="70" width="5.7109375" style="47" customWidth="1"/>
    <col min="71" max="16384" width="6.28515625" style="3"/>
  </cols>
  <sheetData>
    <row r="1" spans="2:70" ht="15.75" thickBot="1" x14ac:dyDescent="0.3">
      <c r="E1" s="4"/>
      <c r="F1" s="3"/>
      <c r="S1" s="47"/>
      <c r="AM1" s="3"/>
      <c r="AN1" s="47"/>
      <c r="BR1" s="3"/>
    </row>
    <row r="2" spans="2:70" ht="15.75" x14ac:dyDescent="0.25">
      <c r="B2" s="2" t="s">
        <v>0</v>
      </c>
      <c r="C2" s="686" t="str">
        <f>IF(Name="","--",Name)</f>
        <v>--</v>
      </c>
      <c r="D2" s="686"/>
      <c r="E2" s="687"/>
      <c r="F2" s="301" t="s">
        <v>6</v>
      </c>
      <c r="G2" s="302"/>
      <c r="H2" s="460" t="s">
        <v>8</v>
      </c>
      <c r="I2" s="460" t="s">
        <v>7</v>
      </c>
      <c r="J2" s="460" t="s">
        <v>9</v>
      </c>
      <c r="K2" s="460" t="s">
        <v>10</v>
      </c>
      <c r="L2" s="460" t="s">
        <v>11</v>
      </c>
      <c r="M2" s="460" t="s">
        <v>12</v>
      </c>
      <c r="N2" s="599" t="s">
        <v>27</v>
      </c>
      <c r="O2" s="599"/>
      <c r="P2" s="599"/>
      <c r="Q2" s="672"/>
      <c r="R2" s="645" t="s">
        <v>670</v>
      </c>
      <c r="S2" s="5" t="s">
        <v>55</v>
      </c>
      <c r="T2" s="66" t="s">
        <v>243</v>
      </c>
      <c r="U2" s="64">
        <v>1</v>
      </c>
      <c r="V2" s="64">
        <f>U2+1</f>
        <v>2</v>
      </c>
      <c r="W2" s="64">
        <f t="shared" ref="W2:AN2" si="0">V2+1</f>
        <v>3</v>
      </c>
      <c r="X2" s="64">
        <f t="shared" si="0"/>
        <v>4</v>
      </c>
      <c r="Y2" s="64">
        <f t="shared" si="0"/>
        <v>5</v>
      </c>
      <c r="Z2" s="64">
        <f t="shared" si="0"/>
        <v>6</v>
      </c>
      <c r="AA2" s="64">
        <f t="shared" si="0"/>
        <v>7</v>
      </c>
      <c r="AB2" s="64">
        <f t="shared" si="0"/>
        <v>8</v>
      </c>
      <c r="AC2" s="64">
        <f t="shared" si="0"/>
        <v>9</v>
      </c>
      <c r="AD2" s="64">
        <f t="shared" si="0"/>
        <v>10</v>
      </c>
      <c r="AE2" s="64">
        <f t="shared" si="0"/>
        <v>11</v>
      </c>
      <c r="AF2" s="64">
        <f t="shared" si="0"/>
        <v>12</v>
      </c>
      <c r="AG2" s="64">
        <f t="shared" si="0"/>
        <v>13</v>
      </c>
      <c r="AH2" s="64">
        <f t="shared" si="0"/>
        <v>14</v>
      </c>
      <c r="AI2" s="64">
        <f t="shared" si="0"/>
        <v>15</v>
      </c>
      <c r="AJ2" s="64">
        <f t="shared" si="0"/>
        <v>16</v>
      </c>
      <c r="AK2" s="64">
        <f t="shared" si="0"/>
        <v>17</v>
      </c>
      <c r="AL2" s="64">
        <f t="shared" si="0"/>
        <v>18</v>
      </c>
      <c r="AM2" s="64">
        <f t="shared" si="0"/>
        <v>19</v>
      </c>
      <c r="AN2" s="64">
        <f t="shared" si="0"/>
        <v>20</v>
      </c>
      <c r="AO2" s="64">
        <f t="shared" ref="AO2:BR2" si="1">AN2+1</f>
        <v>21</v>
      </c>
      <c r="AP2" s="64">
        <f t="shared" si="1"/>
        <v>22</v>
      </c>
      <c r="AQ2" s="64">
        <f t="shared" si="1"/>
        <v>23</v>
      </c>
      <c r="AR2" s="64">
        <f t="shared" si="1"/>
        <v>24</v>
      </c>
      <c r="AS2" s="64">
        <f t="shared" si="1"/>
        <v>25</v>
      </c>
      <c r="AT2" s="64">
        <f t="shared" si="1"/>
        <v>26</v>
      </c>
      <c r="AU2" s="64">
        <f t="shared" si="1"/>
        <v>27</v>
      </c>
      <c r="AV2" s="64">
        <f t="shared" si="1"/>
        <v>28</v>
      </c>
      <c r="AW2" s="64">
        <f t="shared" si="1"/>
        <v>29</v>
      </c>
      <c r="AX2" s="64">
        <f t="shared" si="1"/>
        <v>30</v>
      </c>
      <c r="AY2" s="64">
        <f t="shared" si="1"/>
        <v>31</v>
      </c>
      <c r="AZ2" s="64">
        <f t="shared" si="1"/>
        <v>32</v>
      </c>
      <c r="BA2" s="64">
        <f t="shared" si="1"/>
        <v>33</v>
      </c>
      <c r="BB2" s="64">
        <f t="shared" si="1"/>
        <v>34</v>
      </c>
      <c r="BC2" s="64">
        <f t="shared" si="1"/>
        <v>35</v>
      </c>
      <c r="BD2" s="64">
        <f t="shared" si="1"/>
        <v>36</v>
      </c>
      <c r="BE2" s="64">
        <f t="shared" si="1"/>
        <v>37</v>
      </c>
      <c r="BF2" s="64">
        <f t="shared" si="1"/>
        <v>38</v>
      </c>
      <c r="BG2" s="64">
        <f t="shared" si="1"/>
        <v>39</v>
      </c>
      <c r="BH2" s="64">
        <f t="shared" si="1"/>
        <v>40</v>
      </c>
      <c r="BI2" s="64">
        <f t="shared" si="1"/>
        <v>41</v>
      </c>
      <c r="BJ2" s="64">
        <f t="shared" si="1"/>
        <v>42</v>
      </c>
      <c r="BK2" s="64">
        <f t="shared" si="1"/>
        <v>43</v>
      </c>
      <c r="BL2" s="64">
        <f t="shared" si="1"/>
        <v>44</v>
      </c>
      <c r="BM2" s="64">
        <f t="shared" si="1"/>
        <v>45</v>
      </c>
      <c r="BN2" s="64">
        <f t="shared" si="1"/>
        <v>46</v>
      </c>
      <c r="BO2" s="64">
        <f t="shared" si="1"/>
        <v>47</v>
      </c>
      <c r="BP2" s="64">
        <f t="shared" si="1"/>
        <v>48</v>
      </c>
      <c r="BQ2" s="64">
        <f t="shared" si="1"/>
        <v>49</v>
      </c>
      <c r="BR2" s="65">
        <f t="shared" si="1"/>
        <v>50</v>
      </c>
    </row>
    <row r="3" spans="2:70" ht="15.75" x14ac:dyDescent="0.25">
      <c r="B3" s="623" t="s">
        <v>14</v>
      </c>
      <c r="C3" s="624"/>
      <c r="D3" s="624"/>
      <c r="E3" s="625"/>
      <c r="F3" s="643" t="s">
        <v>21</v>
      </c>
      <c r="G3" s="644"/>
      <c r="H3" s="102">
        <f t="shared" ref="H3:H12" si="2">VLOOKUP(F3,S3:T12,2,FALSE)</f>
        <v>0</v>
      </c>
      <c r="I3" s="107">
        <f t="shared" ref="I3:I12" si="3">IF(Level="","",VLOOKUP(F3,$S$3:$BR$12,Level+2,FALSE))</f>
        <v>0</v>
      </c>
      <c r="J3" s="37">
        <f t="shared" ref="J3:J12" si="4">VLOOKUP(I3,Stats,2)</f>
        <v>0</v>
      </c>
      <c r="K3" s="60">
        <f>IF(Race="",0,VLOOKUP(Race,Races,2,FALSE))</f>
        <v>0</v>
      </c>
      <c r="L3" s="198"/>
      <c r="M3" s="38">
        <f>SUM(J3:L3)</f>
        <v>0</v>
      </c>
      <c r="N3" s="626" t="s">
        <v>49</v>
      </c>
      <c r="O3" s="627"/>
      <c r="P3" s="710" t="str">
        <f>IF(Race=0,"--",50+VLOOKUP(Race,Races,23,FALSE))</f>
        <v>--</v>
      </c>
      <c r="Q3" s="711"/>
      <c r="R3" s="646"/>
      <c r="S3" s="48" t="s">
        <v>21</v>
      </c>
      <c r="T3" s="202"/>
      <c r="U3" s="203"/>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5"/>
    </row>
    <row r="4" spans="2:70" ht="15.75" x14ac:dyDescent="0.25">
      <c r="B4" s="291" t="s">
        <v>1</v>
      </c>
      <c r="C4" s="632" t="str">
        <f>IF(CharName="","--",CharName)</f>
        <v>--</v>
      </c>
      <c r="D4" s="632"/>
      <c r="E4" s="633"/>
      <c r="F4" s="643" t="s">
        <v>20</v>
      </c>
      <c r="G4" s="644"/>
      <c r="H4" s="102">
        <f t="shared" si="2"/>
        <v>0</v>
      </c>
      <c r="I4" s="107">
        <f t="shared" si="3"/>
        <v>0</v>
      </c>
      <c r="J4" s="37">
        <f t="shared" si="4"/>
        <v>0</v>
      </c>
      <c r="K4" s="60">
        <f>IF(Race="",0,VLOOKUP(Race,Races,3,FALSE))</f>
        <v>0</v>
      </c>
      <c r="L4" s="198"/>
      <c r="M4" s="38">
        <f t="shared" ref="M4:M12" si="5">SUM(J4:L4)</f>
        <v>0</v>
      </c>
      <c r="N4" s="653" t="s">
        <v>33</v>
      </c>
      <c r="O4" s="654"/>
      <c r="P4" s="712" t="str">
        <f>IF(Qu=0,"--",Qu+R4)</f>
        <v>--</v>
      </c>
      <c r="Q4" s="713"/>
      <c r="R4" s="409"/>
      <c r="S4" s="48" t="s">
        <v>20</v>
      </c>
      <c r="T4" s="202"/>
      <c r="U4" s="203"/>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5"/>
    </row>
    <row r="5" spans="2:70" ht="15.75" x14ac:dyDescent="0.25">
      <c r="B5" s="292" t="s">
        <v>2</v>
      </c>
      <c r="C5" s="293"/>
      <c r="D5" s="628">
        <f>INT(L60/10000)</f>
        <v>1</v>
      </c>
      <c r="E5" s="629"/>
      <c r="F5" s="643" t="s">
        <v>19</v>
      </c>
      <c r="G5" s="644"/>
      <c r="H5" s="102">
        <f t="shared" si="2"/>
        <v>0</v>
      </c>
      <c r="I5" s="107">
        <f t="shared" si="3"/>
        <v>90</v>
      </c>
      <c r="J5" s="37">
        <f t="shared" si="4"/>
        <v>8</v>
      </c>
      <c r="K5" s="60">
        <f>IF(Race="",0,VLOOKUP(Race,Races,4,FALSE))</f>
        <v>0</v>
      </c>
      <c r="L5" s="198"/>
      <c r="M5" s="38">
        <f t="shared" si="5"/>
        <v>8</v>
      </c>
      <c r="N5" s="630" t="s">
        <v>674</v>
      </c>
      <c r="O5" s="631"/>
      <c r="P5" s="651" t="str">
        <f>IF(Race=0,"--",BD+VLOOKUP(Race,Races,19,FALSE))</f>
        <v>--</v>
      </c>
      <c r="Q5" s="652"/>
      <c r="R5" s="279"/>
      <c r="S5" s="48" t="s">
        <v>19</v>
      </c>
      <c r="T5" s="320"/>
      <c r="U5" s="321">
        <v>90</v>
      </c>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2"/>
      <c r="BO5" s="322"/>
      <c r="BP5" s="322"/>
      <c r="BQ5" s="322"/>
      <c r="BR5" s="323"/>
    </row>
    <row r="6" spans="2:70" ht="15.75" x14ac:dyDescent="0.25">
      <c r="B6" s="292" t="s">
        <v>3</v>
      </c>
      <c r="C6" s="293"/>
      <c r="D6" s="666" t="str">
        <f>IF(Race="","--",Race)</f>
        <v>--</v>
      </c>
      <c r="E6" s="667"/>
      <c r="F6" s="643" t="s">
        <v>18</v>
      </c>
      <c r="G6" s="644"/>
      <c r="H6" s="102">
        <f t="shared" si="2"/>
        <v>0</v>
      </c>
      <c r="I6" s="107">
        <f t="shared" si="3"/>
        <v>0</v>
      </c>
      <c r="J6" s="37">
        <f t="shared" si="4"/>
        <v>0</v>
      </c>
      <c r="K6" s="60">
        <f>IF(Race="",0,VLOOKUP(Race,Races,5,FALSE))</f>
        <v>0</v>
      </c>
      <c r="L6" s="198"/>
      <c r="M6" s="38">
        <f t="shared" si="5"/>
        <v>0</v>
      </c>
      <c r="N6" s="630" t="s">
        <v>48</v>
      </c>
      <c r="O6" s="631"/>
      <c r="P6" s="651" t="str">
        <f>IF(Race=0,"--",BD+VLOOKUP(Race,Races,18,FALSE))</f>
        <v>--</v>
      </c>
      <c r="Q6" s="652"/>
      <c r="R6" s="279"/>
      <c r="S6" s="48" t="s">
        <v>18</v>
      </c>
      <c r="T6" s="320"/>
      <c r="U6" s="321"/>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3"/>
    </row>
    <row r="7" spans="2:70" ht="15.75" x14ac:dyDescent="0.25">
      <c r="B7" s="292" t="s">
        <v>4</v>
      </c>
      <c r="C7" s="293"/>
      <c r="D7" s="666" t="str">
        <f>IF(Profession="","--",Profession)</f>
        <v>Fighter</v>
      </c>
      <c r="E7" s="667"/>
      <c r="F7" s="643" t="s">
        <v>23</v>
      </c>
      <c r="G7" s="644"/>
      <c r="H7" s="102">
        <f t="shared" si="2"/>
        <v>0</v>
      </c>
      <c r="I7" s="107">
        <f t="shared" si="3"/>
        <v>0</v>
      </c>
      <c r="J7" s="37">
        <f t="shared" si="4"/>
        <v>0</v>
      </c>
      <c r="K7" s="60">
        <f>IF(Race="",0,VLOOKUP(Race,Races,6,FALSE))</f>
        <v>0</v>
      </c>
      <c r="L7" s="198"/>
      <c r="M7" s="38">
        <f t="shared" si="5"/>
        <v>0</v>
      </c>
      <c r="N7" s="630" t="s">
        <v>663</v>
      </c>
      <c r="O7" s="631"/>
      <c r="P7" s="651" t="str">
        <f ca="1">IF(OR(PPD&lt;=0),"--",IF(T27="",1,T27)*PPD+T28)</f>
        <v>--</v>
      </c>
      <c r="Q7" s="652"/>
      <c r="R7" s="279"/>
      <c r="S7" s="48" t="s">
        <v>23</v>
      </c>
      <c r="T7" s="202"/>
      <c r="U7" s="203"/>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5"/>
    </row>
    <row r="8" spans="2:70" ht="16.5" thickBot="1" x14ac:dyDescent="0.3">
      <c r="B8" s="294" t="s">
        <v>5</v>
      </c>
      <c r="C8" s="295"/>
      <c r="D8" s="668" t="str">
        <f>IF(Culture="","--",Culture)</f>
        <v>--</v>
      </c>
      <c r="E8" s="669"/>
      <c r="F8" s="643" t="s">
        <v>17</v>
      </c>
      <c r="G8" s="644"/>
      <c r="H8" s="102">
        <f t="shared" si="2"/>
        <v>0</v>
      </c>
      <c r="I8" s="107">
        <f t="shared" si="3"/>
        <v>0</v>
      </c>
      <c r="J8" s="37">
        <f t="shared" si="4"/>
        <v>0</v>
      </c>
      <c r="K8" s="60">
        <f>IF(Race="",0,VLOOKUP(Race,Races,7,FALSE))</f>
        <v>0</v>
      </c>
      <c r="L8" s="198"/>
      <c r="M8" s="38">
        <f t="shared" si="5"/>
        <v>0</v>
      </c>
      <c r="N8" s="457"/>
      <c r="O8" s="454"/>
      <c r="P8" s="454"/>
      <c r="Q8" s="458"/>
      <c r="S8" s="48" t="s">
        <v>17</v>
      </c>
      <c r="T8" s="202"/>
      <c r="U8" s="203"/>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5"/>
    </row>
    <row r="9" spans="2:70" ht="16.5" thickBot="1" x14ac:dyDescent="0.3">
      <c r="B9" s="677" t="s">
        <v>913</v>
      </c>
      <c r="C9" s="678"/>
      <c r="D9" s="678"/>
      <c r="E9" s="679"/>
      <c r="F9" s="643" t="s">
        <v>16</v>
      </c>
      <c r="G9" s="644"/>
      <c r="H9" s="102">
        <f t="shared" si="2"/>
        <v>0</v>
      </c>
      <c r="I9" s="107">
        <f t="shared" si="3"/>
        <v>0</v>
      </c>
      <c r="J9" s="37">
        <f t="shared" si="4"/>
        <v>0</v>
      </c>
      <c r="K9" s="60">
        <f>IF(Race="",0,VLOOKUP(Race,Races,8,FALSE))</f>
        <v>0</v>
      </c>
      <c r="L9" s="198"/>
      <c r="M9" s="38">
        <f t="shared" si="5"/>
        <v>0</v>
      </c>
      <c r="N9" s="694" t="s">
        <v>239</v>
      </c>
      <c r="O9" s="695"/>
      <c r="P9" s="695"/>
      <c r="Q9" s="696"/>
      <c r="R9" s="265"/>
      <c r="S9" s="48" t="s">
        <v>16</v>
      </c>
      <c r="T9" s="320"/>
      <c r="U9" s="321"/>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3"/>
    </row>
    <row r="10" spans="2:70" ht="16.5" thickBot="1" x14ac:dyDescent="0.3">
      <c r="B10" s="650" t="str">
        <f>IF(Profession="","--",IF(Instructions!D12&lt;&gt;"",Instructions!D12,INDEX(DPCosts,55,MATCH(Profession,Professions,0)+2)))</f>
        <v>Essence</v>
      </c>
      <c r="C10" s="520"/>
      <c r="D10" s="520"/>
      <c r="E10" s="521"/>
      <c r="F10" s="643" t="s">
        <v>25</v>
      </c>
      <c r="G10" s="644"/>
      <c r="H10" s="102">
        <f t="shared" si="2"/>
        <v>0</v>
      </c>
      <c r="I10" s="107">
        <f t="shared" si="3"/>
        <v>0</v>
      </c>
      <c r="J10" s="37">
        <f t="shared" si="4"/>
        <v>0</v>
      </c>
      <c r="K10" s="60">
        <f>IF(Race="",0,VLOOKUP(Race,Races,9,FALSE))</f>
        <v>0</v>
      </c>
      <c r="L10" s="198"/>
      <c r="M10" s="38">
        <f t="shared" si="5"/>
        <v>0</v>
      </c>
      <c r="N10" s="639" t="s">
        <v>735</v>
      </c>
      <c r="O10" s="655"/>
      <c r="P10" s="700">
        <f>B57</f>
        <v>0</v>
      </c>
      <c r="Q10" s="701"/>
      <c r="R10" s="277"/>
      <c r="S10" s="48" t="s">
        <v>25</v>
      </c>
      <c r="T10" s="320"/>
      <c r="U10" s="321"/>
      <c r="V10" s="322"/>
      <c r="W10" s="322"/>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3"/>
    </row>
    <row r="11" spans="2:70" ht="15.75" x14ac:dyDescent="0.25">
      <c r="B11" s="598" t="s">
        <v>26</v>
      </c>
      <c r="C11" s="599"/>
      <c r="D11" s="599"/>
      <c r="E11" s="672"/>
      <c r="F11" s="675" t="s">
        <v>180</v>
      </c>
      <c r="G11" s="676"/>
      <c r="H11" s="102">
        <f t="shared" si="2"/>
        <v>0</v>
      </c>
      <c r="I11" s="107">
        <f t="shared" si="3"/>
        <v>0</v>
      </c>
      <c r="J11" s="37">
        <f t="shared" si="4"/>
        <v>0</v>
      </c>
      <c r="K11" s="60">
        <f>IF(Race="",0,VLOOKUP(Race,Races,10,FALSE))</f>
        <v>0</v>
      </c>
      <c r="L11" s="198"/>
      <c r="M11" s="38">
        <f t="shared" si="5"/>
        <v>0</v>
      </c>
      <c r="N11" s="662" t="s">
        <v>52</v>
      </c>
      <c r="O11" s="663"/>
      <c r="P11" s="702">
        <f>IF(Weight="",0,P10/Weight)+I69</f>
        <v>0</v>
      </c>
      <c r="Q11" s="703"/>
      <c r="R11" s="266"/>
      <c r="S11" s="49" t="s">
        <v>180</v>
      </c>
      <c r="T11" s="202"/>
      <c r="U11" s="203"/>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5"/>
    </row>
    <row r="12" spans="2:70" ht="16.5" thickBot="1" x14ac:dyDescent="0.3">
      <c r="B12" s="639" t="s">
        <v>22</v>
      </c>
      <c r="C12" s="640"/>
      <c r="D12" s="501"/>
      <c r="E12" s="634"/>
      <c r="F12" s="526" t="s">
        <v>15</v>
      </c>
      <c r="G12" s="527"/>
      <c r="H12" s="102">
        <f t="shared" si="2"/>
        <v>0</v>
      </c>
      <c r="I12" s="107">
        <f t="shared" si="3"/>
        <v>0</v>
      </c>
      <c r="J12" s="37">
        <f t="shared" si="4"/>
        <v>0</v>
      </c>
      <c r="K12" s="60">
        <f>IF(Race="",0,VLOOKUP(Race,Races,11,FALSE))</f>
        <v>0</v>
      </c>
      <c r="L12" s="199"/>
      <c r="M12" s="39">
        <f t="shared" si="5"/>
        <v>0</v>
      </c>
      <c r="N12" s="641" t="s">
        <v>420</v>
      </c>
      <c r="O12" s="656"/>
      <c r="P12" s="704">
        <f>MIN(10-(P11*100)+IF(St&lt;0,0,3*St),0)</f>
        <v>0</v>
      </c>
      <c r="Q12" s="705"/>
      <c r="R12" s="267"/>
      <c r="S12" s="50" t="s">
        <v>15</v>
      </c>
      <c r="T12" s="206"/>
      <c r="U12" s="207"/>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208"/>
      <c r="BM12" s="208"/>
      <c r="BN12" s="208"/>
      <c r="BO12" s="208"/>
      <c r="BP12" s="208"/>
      <c r="BQ12" s="208"/>
      <c r="BR12" s="209"/>
    </row>
    <row r="13" spans="2:70" ht="15.75" x14ac:dyDescent="0.25">
      <c r="B13" s="641" t="s">
        <v>24</v>
      </c>
      <c r="C13" s="642"/>
      <c r="D13" s="635"/>
      <c r="E13" s="636"/>
      <c r="F13" s="670" t="s">
        <v>13</v>
      </c>
      <c r="G13" s="671"/>
      <c r="H13" s="671"/>
      <c r="I13" s="671"/>
      <c r="J13" s="460" t="s">
        <v>9</v>
      </c>
      <c r="K13" s="460" t="s">
        <v>10</v>
      </c>
      <c r="L13" s="460" t="s">
        <v>11</v>
      </c>
      <c r="M13" s="461" t="s">
        <v>12</v>
      </c>
      <c r="N13" s="641" t="s">
        <v>744</v>
      </c>
      <c r="O13" s="656"/>
      <c r="P13" s="706" t="str">
        <f>IF(P11=0%,"",IF(P11&gt;-11%,"Dash",IF(P11&gt;-26%,"Sprint",IF(P11&gt;-41%,"Run",IF(P11&gt;-66%,"Jog",IF(P11&gt;-101%,"Hustle",IF(P11&gt;-151%,"Walk",IF(P11&gt;-201%,"Creep",IF(P11&lt;-200,"Cannot Move")))))))))</f>
        <v/>
      </c>
      <c r="Q13" s="707"/>
      <c r="R13" s="277"/>
      <c r="S13" s="53" t="s">
        <v>241</v>
      </c>
      <c r="T13" s="55">
        <f t="shared" ref="T13:AN13" si="6">VLOOKUP(T3,Stats,3)+VLOOKUP(T4,Stats,3)+VLOOKUP(T5,Stats,3)+VLOOKUP(T6,Stats,3)+VLOOKUP(T7,Stats,3)+VLOOKUP(T8,Stats,3)+VLOOKUP(T9,Stats,3)+VLOOKUP(T10,Stats,3)+VLOOKUP(T11,Stats,3)+VLOOKUP(T12,Stats,3)</f>
        <v>0</v>
      </c>
      <c r="U13" s="55">
        <f t="shared" si="6"/>
        <v>47</v>
      </c>
      <c r="V13" s="55">
        <f t="shared" si="6"/>
        <v>0</v>
      </c>
      <c r="W13" s="55">
        <f t="shared" si="6"/>
        <v>0</v>
      </c>
      <c r="X13" s="55">
        <f t="shared" si="6"/>
        <v>0</v>
      </c>
      <c r="Y13" s="55">
        <f t="shared" si="6"/>
        <v>0</v>
      </c>
      <c r="Z13" s="55">
        <f t="shared" si="6"/>
        <v>0</v>
      </c>
      <c r="AA13" s="55">
        <f t="shared" si="6"/>
        <v>0</v>
      </c>
      <c r="AB13" s="55">
        <f t="shared" si="6"/>
        <v>0</v>
      </c>
      <c r="AC13" s="55">
        <f t="shared" si="6"/>
        <v>0</v>
      </c>
      <c r="AD13" s="55">
        <f t="shared" si="6"/>
        <v>0</v>
      </c>
      <c r="AE13" s="55">
        <f t="shared" si="6"/>
        <v>0</v>
      </c>
      <c r="AF13" s="55">
        <f t="shared" si="6"/>
        <v>0</v>
      </c>
      <c r="AG13" s="55">
        <f t="shared" si="6"/>
        <v>0</v>
      </c>
      <c r="AH13" s="55">
        <f t="shared" si="6"/>
        <v>0</v>
      </c>
      <c r="AI13" s="55">
        <f t="shared" si="6"/>
        <v>0</v>
      </c>
      <c r="AJ13" s="55">
        <f t="shared" si="6"/>
        <v>0</v>
      </c>
      <c r="AK13" s="55">
        <f t="shared" si="6"/>
        <v>0</v>
      </c>
      <c r="AL13" s="55">
        <f t="shared" si="6"/>
        <v>0</v>
      </c>
      <c r="AM13" s="55">
        <f t="shared" si="6"/>
        <v>0</v>
      </c>
      <c r="AN13" s="55">
        <f t="shared" si="6"/>
        <v>0</v>
      </c>
      <c r="AO13" s="55">
        <f t="shared" ref="AO13:BR13" si="7">VLOOKUP(AO3,Stats,3)+VLOOKUP(AO4,Stats,3)+VLOOKUP(AO5,Stats,3)+VLOOKUP(AO6,Stats,3)+VLOOKUP(AO7,Stats,3)+VLOOKUP(AO8,Stats,3)+VLOOKUP(AO9,Stats,3)+VLOOKUP(AO10,Stats,3)+VLOOKUP(AO11,Stats,3)+VLOOKUP(AO12,Stats,3)</f>
        <v>0</v>
      </c>
      <c r="AP13" s="55">
        <f t="shared" si="7"/>
        <v>0</v>
      </c>
      <c r="AQ13" s="55">
        <f t="shared" si="7"/>
        <v>0</v>
      </c>
      <c r="AR13" s="55">
        <f t="shared" si="7"/>
        <v>0</v>
      </c>
      <c r="AS13" s="55">
        <f t="shared" si="7"/>
        <v>0</v>
      </c>
      <c r="AT13" s="55">
        <f t="shared" si="7"/>
        <v>0</v>
      </c>
      <c r="AU13" s="55">
        <f t="shared" si="7"/>
        <v>0</v>
      </c>
      <c r="AV13" s="55">
        <f t="shared" si="7"/>
        <v>0</v>
      </c>
      <c r="AW13" s="55">
        <f t="shared" si="7"/>
        <v>0</v>
      </c>
      <c r="AX13" s="55">
        <f t="shared" si="7"/>
        <v>0</v>
      </c>
      <c r="AY13" s="55">
        <f t="shared" si="7"/>
        <v>0</v>
      </c>
      <c r="AZ13" s="55">
        <f t="shared" si="7"/>
        <v>0</v>
      </c>
      <c r="BA13" s="55">
        <f t="shared" si="7"/>
        <v>0</v>
      </c>
      <c r="BB13" s="55">
        <f t="shared" si="7"/>
        <v>0</v>
      </c>
      <c r="BC13" s="55">
        <f t="shared" si="7"/>
        <v>0</v>
      </c>
      <c r="BD13" s="55">
        <f t="shared" si="7"/>
        <v>0</v>
      </c>
      <c r="BE13" s="55">
        <f t="shared" si="7"/>
        <v>0</v>
      </c>
      <c r="BF13" s="55">
        <f t="shared" si="7"/>
        <v>0</v>
      </c>
      <c r="BG13" s="55">
        <f t="shared" si="7"/>
        <v>0</v>
      </c>
      <c r="BH13" s="55">
        <f t="shared" si="7"/>
        <v>0</v>
      </c>
      <c r="BI13" s="55">
        <f t="shared" si="7"/>
        <v>0</v>
      </c>
      <c r="BJ13" s="55">
        <f t="shared" si="7"/>
        <v>0</v>
      </c>
      <c r="BK13" s="55">
        <f t="shared" si="7"/>
        <v>0</v>
      </c>
      <c r="BL13" s="55">
        <f t="shared" si="7"/>
        <v>0</v>
      </c>
      <c r="BM13" s="55">
        <f t="shared" si="7"/>
        <v>0</v>
      </c>
      <c r="BN13" s="55">
        <f t="shared" si="7"/>
        <v>0</v>
      </c>
      <c r="BO13" s="55">
        <f t="shared" si="7"/>
        <v>0</v>
      </c>
      <c r="BP13" s="55">
        <f t="shared" si="7"/>
        <v>0</v>
      </c>
      <c r="BQ13" s="55">
        <f t="shared" si="7"/>
        <v>0</v>
      </c>
      <c r="BR13" s="55">
        <f t="shared" si="7"/>
        <v>0</v>
      </c>
    </row>
    <row r="14" spans="2:70" ht="16.5" thickBot="1" x14ac:dyDescent="0.3">
      <c r="B14" s="641" t="s">
        <v>28</v>
      </c>
      <c r="C14" s="642"/>
      <c r="D14" s="501"/>
      <c r="E14" s="634"/>
      <c r="F14" s="643" t="s">
        <v>37</v>
      </c>
      <c r="G14" s="644"/>
      <c r="H14" s="276" t="s">
        <v>45</v>
      </c>
      <c r="I14" s="276"/>
      <c r="J14" s="103">
        <f>In+In+SD</f>
        <v>0</v>
      </c>
      <c r="K14" s="37">
        <f>IF(Race="",0,VLOOKUP(Race,Races,12,FALSE))</f>
        <v>0</v>
      </c>
      <c r="L14" s="200"/>
      <c r="M14" s="105">
        <f>J14+K14+L14+IF(ISERR(FIND(F14,Realm)),0,10)</f>
        <v>0</v>
      </c>
      <c r="N14" s="664" t="s">
        <v>743</v>
      </c>
      <c r="O14" s="665"/>
      <c r="P14" s="708">
        <f ca="1">IF(G69+Skills!G29+P12&gt;=0,0,SUM(G69+Skills!G29+P12))</f>
        <v>0</v>
      </c>
      <c r="Q14" s="709"/>
      <c r="R14" s="268"/>
      <c r="S14" s="53" t="s">
        <v>242</v>
      </c>
      <c r="T14" s="55"/>
      <c r="U14" s="55"/>
      <c r="V14" s="55">
        <f>IF(SUM(V3:V12)=0,0,V13-U13)</f>
        <v>0</v>
      </c>
      <c r="W14" s="55">
        <f t="shared" ref="W14:AN14" si="8">IF(SUM(W3:W12)=0,0,W13-V13)</f>
        <v>0</v>
      </c>
      <c r="X14" s="55">
        <f t="shared" si="8"/>
        <v>0</v>
      </c>
      <c r="Y14" s="55">
        <f t="shared" si="8"/>
        <v>0</v>
      </c>
      <c r="Z14" s="55">
        <f t="shared" si="8"/>
        <v>0</v>
      </c>
      <c r="AA14" s="55">
        <f t="shared" si="8"/>
        <v>0</v>
      </c>
      <c r="AB14" s="55">
        <f t="shared" si="8"/>
        <v>0</v>
      </c>
      <c r="AC14" s="55">
        <f t="shared" si="8"/>
        <v>0</v>
      </c>
      <c r="AD14" s="55">
        <f t="shared" si="8"/>
        <v>0</v>
      </c>
      <c r="AE14" s="55">
        <f t="shared" si="8"/>
        <v>0</v>
      </c>
      <c r="AF14" s="55">
        <f t="shared" si="8"/>
        <v>0</v>
      </c>
      <c r="AG14" s="55">
        <f t="shared" si="8"/>
        <v>0</v>
      </c>
      <c r="AH14" s="55">
        <f t="shared" si="8"/>
        <v>0</v>
      </c>
      <c r="AI14" s="55">
        <f t="shared" si="8"/>
        <v>0</v>
      </c>
      <c r="AJ14" s="55">
        <f t="shared" si="8"/>
        <v>0</v>
      </c>
      <c r="AK14" s="55">
        <f t="shared" si="8"/>
        <v>0</v>
      </c>
      <c r="AL14" s="55">
        <f t="shared" si="8"/>
        <v>0</v>
      </c>
      <c r="AM14" s="55">
        <f t="shared" si="8"/>
        <v>0</v>
      </c>
      <c r="AN14" s="55">
        <f t="shared" si="8"/>
        <v>0</v>
      </c>
      <c r="AO14" s="55">
        <f t="shared" ref="AO14:BR14" si="9">IF(SUM(AO3:AO12)=0,0,AO13-AN13)</f>
        <v>0</v>
      </c>
      <c r="AP14" s="55">
        <f t="shared" si="9"/>
        <v>0</v>
      </c>
      <c r="AQ14" s="55">
        <f t="shared" si="9"/>
        <v>0</v>
      </c>
      <c r="AR14" s="55">
        <f t="shared" si="9"/>
        <v>0</v>
      </c>
      <c r="AS14" s="55">
        <f t="shared" si="9"/>
        <v>0</v>
      </c>
      <c r="AT14" s="55">
        <f t="shared" si="9"/>
        <v>0</v>
      </c>
      <c r="AU14" s="55">
        <f t="shared" si="9"/>
        <v>0</v>
      </c>
      <c r="AV14" s="55">
        <f t="shared" si="9"/>
        <v>0</v>
      </c>
      <c r="AW14" s="55">
        <f t="shared" si="9"/>
        <v>0</v>
      </c>
      <c r="AX14" s="55">
        <f t="shared" si="9"/>
        <v>0</v>
      </c>
      <c r="AY14" s="55">
        <f t="shared" si="9"/>
        <v>0</v>
      </c>
      <c r="AZ14" s="55">
        <f t="shared" si="9"/>
        <v>0</v>
      </c>
      <c r="BA14" s="55">
        <f t="shared" si="9"/>
        <v>0</v>
      </c>
      <c r="BB14" s="55">
        <f t="shared" si="9"/>
        <v>0</v>
      </c>
      <c r="BC14" s="55">
        <f t="shared" si="9"/>
        <v>0</v>
      </c>
      <c r="BD14" s="55">
        <f t="shared" si="9"/>
        <v>0</v>
      </c>
      <c r="BE14" s="55">
        <f t="shared" si="9"/>
        <v>0</v>
      </c>
      <c r="BF14" s="55">
        <f t="shared" si="9"/>
        <v>0</v>
      </c>
      <c r="BG14" s="55">
        <f t="shared" si="9"/>
        <v>0</v>
      </c>
      <c r="BH14" s="55">
        <f t="shared" si="9"/>
        <v>0</v>
      </c>
      <c r="BI14" s="55">
        <f t="shared" si="9"/>
        <v>0</v>
      </c>
      <c r="BJ14" s="55">
        <f t="shared" si="9"/>
        <v>0</v>
      </c>
      <c r="BK14" s="55">
        <f t="shared" si="9"/>
        <v>0</v>
      </c>
      <c r="BL14" s="55">
        <f t="shared" si="9"/>
        <v>0</v>
      </c>
      <c r="BM14" s="55">
        <f t="shared" si="9"/>
        <v>0</v>
      </c>
      <c r="BN14" s="55">
        <f t="shared" si="9"/>
        <v>0</v>
      </c>
      <c r="BO14" s="55">
        <f t="shared" si="9"/>
        <v>0</v>
      </c>
      <c r="BP14" s="55">
        <f t="shared" si="9"/>
        <v>0</v>
      </c>
      <c r="BQ14" s="55">
        <f t="shared" si="9"/>
        <v>0</v>
      </c>
      <c r="BR14" s="55">
        <f t="shared" si="9"/>
        <v>0</v>
      </c>
    </row>
    <row r="15" spans="2:70" ht="16.5" thickBot="1" x14ac:dyDescent="0.3">
      <c r="B15" s="641" t="s">
        <v>29</v>
      </c>
      <c r="C15" s="642"/>
      <c r="D15" s="637"/>
      <c r="E15" s="638"/>
      <c r="F15" s="643" t="s">
        <v>38</v>
      </c>
      <c r="G15" s="644"/>
      <c r="H15" s="276" t="s">
        <v>46</v>
      </c>
      <c r="I15" s="276"/>
      <c r="J15" s="103">
        <f>Em+Em+SD</f>
        <v>16</v>
      </c>
      <c r="K15" s="37">
        <f>IF(Race="",0,VLOOKUP(Race,Races,13,FALSE))</f>
        <v>0</v>
      </c>
      <c r="L15" s="200"/>
      <c r="M15" s="105">
        <f>J15+K15+L15+IF(ISERR(FIND(F15,Realm)),0,10)</f>
        <v>26</v>
      </c>
      <c r="N15" s="598" t="s">
        <v>240</v>
      </c>
      <c r="O15" s="599"/>
      <c r="P15" s="599"/>
      <c r="Q15" s="672"/>
      <c r="R15" s="264"/>
    </row>
    <row r="16" spans="2:70" ht="15.75" x14ac:dyDescent="0.25">
      <c r="B16" s="641" t="s">
        <v>35</v>
      </c>
      <c r="C16" s="642"/>
      <c r="D16" s="501"/>
      <c r="E16" s="634"/>
      <c r="F16" s="643" t="s">
        <v>39</v>
      </c>
      <c r="G16" s="644"/>
      <c r="H16" s="276" t="s">
        <v>47</v>
      </c>
      <c r="I16" s="276"/>
      <c r="J16" s="103">
        <f>Pr+Pr+SD</f>
        <v>0</v>
      </c>
      <c r="K16" s="37">
        <f>IF(Race="",0,VLOOKUP(Race,Races,14,FALSE))</f>
        <v>0</v>
      </c>
      <c r="L16" s="200"/>
      <c r="M16" s="105">
        <f>J16+K16+L16+IF(ISERR(FIND(F16,Realm)),0,10)</f>
        <v>0</v>
      </c>
      <c r="N16" s="626" t="s">
        <v>50</v>
      </c>
      <c r="O16" s="627"/>
      <c r="P16" s="688">
        <f>VLOOKUP(C66,Tables!AA3:AA12:'Tables'!AB3:AB12,2,FALSE)</f>
        <v>1</v>
      </c>
      <c r="Q16" s="689"/>
      <c r="R16" s="262"/>
      <c r="T16" s="509" t="s">
        <v>255</v>
      </c>
      <c r="U16" s="510"/>
      <c r="V16" s="510"/>
      <c r="W16" s="510"/>
      <c r="X16" s="510"/>
      <c r="Y16" s="511"/>
      <c r="Z16" s="58"/>
      <c r="AA16" s="680" t="s">
        <v>410</v>
      </c>
      <c r="AB16" s="681"/>
      <c r="AC16" s="58"/>
      <c r="AD16" s="58"/>
    </row>
    <row r="17" spans="1:70" ht="15.75" x14ac:dyDescent="0.25">
      <c r="B17" s="641" t="s">
        <v>34</v>
      </c>
      <c r="C17" s="642"/>
      <c r="D17" s="673"/>
      <c r="E17" s="674"/>
      <c r="F17" s="643" t="s">
        <v>40</v>
      </c>
      <c r="G17" s="644"/>
      <c r="H17" s="276" t="s">
        <v>43</v>
      </c>
      <c r="I17" s="276"/>
      <c r="J17" s="103">
        <f>Co+Co+SD</f>
        <v>0</v>
      </c>
      <c r="K17" s="37">
        <f>IF(Race="",0,VLOOKUP(Race,Races,15,FALSE))</f>
        <v>0</v>
      </c>
      <c r="L17" s="200"/>
      <c r="M17" s="105">
        <f t="shared" ref="M17:M18" si="10">J17+K17+L17</f>
        <v>0</v>
      </c>
      <c r="N17" s="1" t="s">
        <v>30</v>
      </c>
      <c r="O17" s="325" t="s">
        <v>357</v>
      </c>
      <c r="P17" s="690" t="str">
        <f>IF(O17="None","--",VLOOKUP(O17,Tables!AD3:AD7:'Tables'!AE3:AE7,2,FALSE)+SUM(Skills!H35))</f>
        <v>--</v>
      </c>
      <c r="Q17" s="691"/>
      <c r="R17" s="277"/>
      <c r="T17" s="475">
        <v>1</v>
      </c>
      <c r="U17" s="512" t="s">
        <v>200</v>
      </c>
      <c r="V17" s="512"/>
      <c r="W17" s="512"/>
      <c r="X17" s="512"/>
      <c r="Y17" s="513"/>
      <c r="Z17" s="58"/>
      <c r="AA17" s="682" t="s">
        <v>411</v>
      </c>
      <c r="AB17" s="683"/>
      <c r="AC17" s="58"/>
      <c r="AD17" s="58"/>
    </row>
    <row r="18" spans="1:70" ht="15.75" x14ac:dyDescent="0.25">
      <c r="B18" s="641" t="s">
        <v>31</v>
      </c>
      <c r="C18" s="642"/>
      <c r="D18" s="673"/>
      <c r="E18" s="674"/>
      <c r="F18" s="643" t="s">
        <v>41</v>
      </c>
      <c r="G18" s="644"/>
      <c r="H18" s="276" t="s">
        <v>43</v>
      </c>
      <c r="I18" s="276"/>
      <c r="J18" s="103">
        <f>Co+Co+SD</f>
        <v>0</v>
      </c>
      <c r="K18" s="37">
        <f>IF(Race="",0,VLOOKUP(Race,Races,16,FALSE))</f>
        <v>0</v>
      </c>
      <c r="L18" s="200"/>
      <c r="M18" s="105">
        <f t="shared" si="10"/>
        <v>0</v>
      </c>
      <c r="N18" s="210" t="s">
        <v>182</v>
      </c>
      <c r="O18" s="195"/>
      <c r="P18" s="692">
        <f>SUM(Qu*3)+O18</f>
        <v>0</v>
      </c>
      <c r="Q18" s="693"/>
      <c r="R18" s="278"/>
      <c r="T18" s="475">
        <v>2</v>
      </c>
      <c r="U18" s="512" t="s">
        <v>201</v>
      </c>
      <c r="V18" s="512"/>
      <c r="W18" s="512"/>
      <c r="X18" s="512"/>
      <c r="Y18" s="513"/>
      <c r="Z18" s="58"/>
      <c r="AA18" s="684" t="s">
        <v>354</v>
      </c>
      <c r="AB18" s="685"/>
      <c r="AC18" s="58"/>
      <c r="AD18" s="58"/>
    </row>
    <row r="19" spans="1:70" ht="16.5" thickBot="1" x14ac:dyDescent="0.3">
      <c r="B19" s="524" t="s">
        <v>32</v>
      </c>
      <c r="C19" s="525"/>
      <c r="D19" s="528"/>
      <c r="E19" s="529"/>
      <c r="F19" s="526" t="s">
        <v>42</v>
      </c>
      <c r="G19" s="527"/>
      <c r="H19" s="275" t="s">
        <v>44</v>
      </c>
      <c r="I19" s="275"/>
      <c r="J19" s="104">
        <f>SD+SD+Re</f>
        <v>0</v>
      </c>
      <c r="K19" s="417" t="s">
        <v>734</v>
      </c>
      <c r="L19" s="201"/>
      <c r="M19" s="106">
        <f>J19+L19</f>
        <v>0</v>
      </c>
      <c r="N19" s="518" t="s">
        <v>675</v>
      </c>
      <c r="O19" s="519"/>
      <c r="P19" s="520">
        <f>IF(P17="--",P18,P17+P18)</f>
        <v>0</v>
      </c>
      <c r="Q19" s="521"/>
      <c r="R19" s="4"/>
      <c r="T19" s="475">
        <v>3</v>
      </c>
      <c r="U19" s="512" t="s">
        <v>202</v>
      </c>
      <c r="V19" s="512"/>
      <c r="W19" s="512"/>
      <c r="X19" s="512"/>
      <c r="Y19" s="513"/>
      <c r="Z19" s="58"/>
      <c r="AA19" s="766" t="s">
        <v>748</v>
      </c>
      <c r="AB19" s="767"/>
      <c r="AC19" s="58"/>
      <c r="AD19" s="58"/>
    </row>
    <row r="20" spans="1:70" ht="16.5" customHeight="1" thickBot="1" x14ac:dyDescent="0.3">
      <c r="B20" s="477" t="s">
        <v>606</v>
      </c>
      <c r="C20" s="522" t="str">
        <f>IF(Race="","",VLOOKUP(Race,RacialTalents,3,FALSE))</f>
        <v/>
      </c>
      <c r="D20" s="522"/>
      <c r="E20" s="522"/>
      <c r="F20" s="522"/>
      <c r="G20" s="522"/>
      <c r="H20" s="522"/>
      <c r="I20" s="522"/>
      <c r="J20" s="522"/>
      <c r="K20" s="522"/>
      <c r="L20" s="522"/>
      <c r="M20" s="522"/>
      <c r="N20" s="522"/>
      <c r="O20" s="522"/>
      <c r="P20" s="522"/>
      <c r="Q20" s="523"/>
      <c r="R20" s="263"/>
      <c r="T20" s="475">
        <v>4</v>
      </c>
      <c r="U20" s="512" t="s">
        <v>203</v>
      </c>
      <c r="V20" s="512"/>
      <c r="W20" s="512"/>
      <c r="X20" s="512"/>
      <c r="Y20" s="513"/>
      <c r="Z20" s="58"/>
      <c r="AA20" s="59"/>
      <c r="AB20" s="58"/>
      <c r="AC20" s="58"/>
      <c r="AD20" s="58"/>
    </row>
    <row r="21" spans="1:70" ht="15.75" customHeight="1" thickBot="1" x14ac:dyDescent="0.3">
      <c r="B21" s="647" t="s">
        <v>607</v>
      </c>
      <c r="C21" s="648"/>
      <c r="D21" s="649"/>
      <c r="E21" s="481" t="s">
        <v>666</v>
      </c>
      <c r="F21" s="481" t="s">
        <v>737</v>
      </c>
      <c r="G21" s="481" t="s">
        <v>608</v>
      </c>
      <c r="H21" s="660" t="s">
        <v>424</v>
      </c>
      <c r="I21" s="576"/>
      <c r="J21" s="576"/>
      <c r="K21" s="576"/>
      <c r="L21" s="576"/>
      <c r="M21" s="576"/>
      <c r="N21" s="576"/>
      <c r="O21" s="576"/>
      <c r="P21" s="576"/>
      <c r="Q21" s="661"/>
      <c r="R21" s="462" t="s">
        <v>617</v>
      </c>
      <c r="S21" s="284"/>
      <c r="T21" s="475">
        <v>5</v>
      </c>
      <c r="U21" s="512" t="s">
        <v>204</v>
      </c>
      <c r="V21" s="512"/>
      <c r="W21" s="512"/>
      <c r="X21" s="512"/>
      <c r="Y21" s="513"/>
      <c r="Z21" s="58"/>
      <c r="AA21" s="59"/>
      <c r="AB21" s="58"/>
      <c r="AC21" s="58"/>
      <c r="AD21" s="58"/>
    </row>
    <row r="22" spans="1:70" x14ac:dyDescent="0.25">
      <c r="B22" s="569"/>
      <c r="C22" s="570"/>
      <c r="D22" s="571"/>
      <c r="E22" s="478"/>
      <c r="F22" s="479"/>
      <c r="G22" s="480" t="str">
        <f>IF(B22="","",SUM(VLOOKUP(B22,Talents!C$4:Q$134,2,FALSE)*E22))</f>
        <v/>
      </c>
      <c r="H22" s="657" t="str">
        <f t="shared" ref="H22:H28" si="11">IF(B22="","",VLOOKUP(B22,Talents,4,FALSE))</f>
        <v/>
      </c>
      <c r="I22" s="658"/>
      <c r="J22" s="658"/>
      <c r="K22" s="658"/>
      <c r="L22" s="658"/>
      <c r="M22" s="658"/>
      <c r="N22" s="658"/>
      <c r="O22" s="658"/>
      <c r="P22" s="658"/>
      <c r="Q22" s="659"/>
      <c r="R22" s="303" t="str">
        <f>IF(B22="","",VLOOKUP(B22,Talents!C$4:Q$134,3,FALSE))</f>
        <v/>
      </c>
      <c r="S22" s="4"/>
      <c r="T22" s="475">
        <v>6</v>
      </c>
      <c r="U22" s="512" t="s">
        <v>205</v>
      </c>
      <c r="V22" s="512"/>
      <c r="W22" s="512"/>
      <c r="X22" s="512"/>
      <c r="Y22" s="513"/>
      <c r="Z22" s="58"/>
      <c r="AA22" s="59"/>
      <c r="AB22" s="58"/>
      <c r="AC22" s="58"/>
      <c r="AD22" s="58"/>
    </row>
    <row r="23" spans="1:70" x14ac:dyDescent="0.25">
      <c r="B23" s="572"/>
      <c r="C23" s="573"/>
      <c r="D23" s="574"/>
      <c r="E23" s="226"/>
      <c r="F23" s="319"/>
      <c r="G23" s="253" t="str">
        <f>IF(B23="","",SUM(VLOOKUP(B23,Talents!C$4:Q$134,2,FALSE)*E23))</f>
        <v/>
      </c>
      <c r="H23" s="530" t="str">
        <f t="shared" si="11"/>
        <v/>
      </c>
      <c r="I23" s="531"/>
      <c r="J23" s="531"/>
      <c r="K23" s="531"/>
      <c r="L23" s="531"/>
      <c r="M23" s="531"/>
      <c r="N23" s="531"/>
      <c r="O23" s="531"/>
      <c r="P23" s="531"/>
      <c r="Q23" s="532"/>
      <c r="R23" s="304" t="str">
        <f>IF(B23="","",VLOOKUP(B23,Talents!C$4:Q$134,3,FALSE))</f>
        <v/>
      </c>
      <c r="S23" s="4"/>
      <c r="T23" s="475">
        <v>7</v>
      </c>
      <c r="U23" s="512" t="s">
        <v>206</v>
      </c>
      <c r="V23" s="512"/>
      <c r="W23" s="512"/>
      <c r="X23" s="512"/>
      <c r="Y23" s="513"/>
      <c r="Z23" s="58"/>
      <c r="AA23" s="59"/>
      <c r="AB23" s="58"/>
      <c r="AC23" s="58"/>
      <c r="AD23" s="58"/>
    </row>
    <row r="24" spans="1:70" ht="15.75" thickBot="1" x14ac:dyDescent="0.3">
      <c r="B24" s="572"/>
      <c r="C24" s="573"/>
      <c r="D24" s="574"/>
      <c r="E24" s="226"/>
      <c r="F24" s="319"/>
      <c r="G24" s="253" t="str">
        <f>IF(B24="","",SUM(VLOOKUP(B24,Talents!C$4:Q$134,2,FALSE)*E24))</f>
        <v/>
      </c>
      <c r="H24" s="530" t="str">
        <f t="shared" si="11"/>
        <v/>
      </c>
      <c r="I24" s="531"/>
      <c r="J24" s="531"/>
      <c r="K24" s="531"/>
      <c r="L24" s="531"/>
      <c r="M24" s="531"/>
      <c r="N24" s="531"/>
      <c r="O24" s="531"/>
      <c r="P24" s="531"/>
      <c r="Q24" s="532"/>
      <c r="R24" s="304" t="str">
        <f>IF(B24="","",VLOOKUP(B24,Talents!C$4:Q$134,3,FALSE))</f>
        <v/>
      </c>
      <c r="S24" s="4"/>
      <c r="T24" s="476">
        <v>8</v>
      </c>
      <c r="U24" s="533" t="s">
        <v>207</v>
      </c>
      <c r="V24" s="533"/>
      <c r="W24" s="533"/>
      <c r="X24" s="533"/>
      <c r="Y24" s="534"/>
      <c r="Z24" s="58"/>
      <c r="AA24" s="59"/>
      <c r="AB24" s="58"/>
      <c r="AC24" s="58"/>
      <c r="AD24" s="58"/>
      <c r="AR24" s="471"/>
      <c r="AS24" s="472"/>
      <c r="AT24" s="472"/>
      <c r="AU24" s="472"/>
      <c r="AV24" s="472"/>
      <c r="AW24" s="472"/>
      <c r="AX24" s="472"/>
      <c r="AY24" s="472"/>
      <c r="AZ24" s="472"/>
      <c r="BA24" s="472"/>
      <c r="BB24" s="472"/>
      <c r="BC24" s="472"/>
      <c r="BD24" s="472"/>
      <c r="BE24" s="472"/>
      <c r="BF24" s="472"/>
    </row>
    <row r="25" spans="1:70" ht="15.75" thickBot="1" x14ac:dyDescent="0.3">
      <c r="B25" s="572"/>
      <c r="C25" s="573"/>
      <c r="D25" s="574"/>
      <c r="E25" s="226"/>
      <c r="F25" s="319"/>
      <c r="G25" s="253" t="str">
        <f>IF(B25="","",SUM(VLOOKUP(B25,Talents!C$4:Q$134,2,FALSE)*E25))</f>
        <v/>
      </c>
      <c r="H25" s="530" t="str">
        <f t="shared" si="11"/>
        <v/>
      </c>
      <c r="I25" s="531"/>
      <c r="J25" s="531"/>
      <c r="K25" s="531"/>
      <c r="L25" s="531"/>
      <c r="M25" s="531"/>
      <c r="N25" s="531"/>
      <c r="O25" s="531"/>
      <c r="P25" s="531"/>
      <c r="Q25" s="532"/>
      <c r="R25" s="304" t="str">
        <f>IF(B25="","",VLOOKUP(B25,Talents!C$4:Q$134,3,FALSE))</f>
        <v/>
      </c>
      <c r="S25" s="47"/>
      <c r="AM25" s="3"/>
      <c r="AN25" s="47"/>
      <c r="BR25" s="3"/>
    </row>
    <row r="26" spans="1:70" x14ac:dyDescent="0.25">
      <c r="B26" s="572"/>
      <c r="C26" s="573"/>
      <c r="D26" s="574"/>
      <c r="E26" s="226"/>
      <c r="F26" s="319"/>
      <c r="G26" s="253" t="str">
        <f>IF(B26="","",SUM(VLOOKUP(B26,Talents!C$4:Q$134,2,FALSE)*E26))</f>
        <v/>
      </c>
      <c r="H26" s="530" t="str">
        <f t="shared" si="11"/>
        <v/>
      </c>
      <c r="I26" s="531"/>
      <c r="J26" s="531"/>
      <c r="K26" s="531"/>
      <c r="L26" s="531"/>
      <c r="M26" s="531"/>
      <c r="N26" s="531"/>
      <c r="O26" s="531"/>
      <c r="P26" s="531"/>
      <c r="Q26" s="532"/>
      <c r="R26" s="304" t="str">
        <f>IF(B26="","",VLOOKUP(B26,Talents!C$4:Q$134,3,FALSE))</f>
        <v/>
      </c>
      <c r="S26" s="47"/>
      <c r="T26" s="509" t="s">
        <v>671</v>
      </c>
      <c r="U26" s="510"/>
      <c r="V26" s="510"/>
      <c r="W26" s="510"/>
      <c r="X26" s="510"/>
      <c r="Y26" s="511"/>
      <c r="AM26" s="3"/>
      <c r="AN26" s="47"/>
      <c r="BR26" s="3"/>
    </row>
    <row r="27" spans="1:70" ht="15.75" thickBot="1" x14ac:dyDescent="0.3">
      <c r="B27" s="572"/>
      <c r="C27" s="573"/>
      <c r="D27" s="574"/>
      <c r="E27" s="226"/>
      <c r="F27" s="319"/>
      <c r="G27" s="253" t="str">
        <f>IF(B27="","",SUM(VLOOKUP(B27,Talents!C$4:Q$134,2,FALSE)*E27))</f>
        <v/>
      </c>
      <c r="H27" s="530" t="str">
        <f t="shared" si="11"/>
        <v/>
      </c>
      <c r="I27" s="531"/>
      <c r="J27" s="531"/>
      <c r="K27" s="531"/>
      <c r="L27" s="531"/>
      <c r="M27" s="531"/>
      <c r="N27" s="531"/>
      <c r="O27" s="531"/>
      <c r="P27" s="531"/>
      <c r="Q27" s="532"/>
      <c r="R27" s="304" t="str">
        <f>IF(B27="","",VLOOKUP(B27,Talents!C$4:Q$134,3,FALSE))</f>
        <v/>
      </c>
      <c r="S27" s="47"/>
      <c r="T27" s="327"/>
      <c r="U27" s="514" t="s">
        <v>672</v>
      </c>
      <c r="V27" s="514"/>
      <c r="W27" s="514"/>
      <c r="X27" s="514"/>
      <c r="Y27" s="515"/>
      <c r="AM27" s="3"/>
      <c r="AN27" s="47"/>
      <c r="BR27" s="3"/>
    </row>
    <row r="28" spans="1:70" ht="15.75" thickBot="1" x14ac:dyDescent="0.3">
      <c r="B28" s="572"/>
      <c r="C28" s="573"/>
      <c r="D28" s="574"/>
      <c r="E28" s="226"/>
      <c r="F28" s="319"/>
      <c r="G28" s="253" t="str">
        <f>IF(B28="","",SUM(VLOOKUP(B28,Talents!C$4:Q$134,2,FALSE)*E28))</f>
        <v/>
      </c>
      <c r="H28" s="530" t="str">
        <f t="shared" si="11"/>
        <v/>
      </c>
      <c r="I28" s="531"/>
      <c r="J28" s="531"/>
      <c r="K28" s="531"/>
      <c r="L28" s="531"/>
      <c r="M28" s="531"/>
      <c r="N28" s="531"/>
      <c r="O28" s="531"/>
      <c r="P28" s="531"/>
      <c r="Q28" s="532"/>
      <c r="R28" s="305" t="str">
        <f>IF(B28="","",VLOOKUP(B28,Talents!C$4:Q$134,3,FALSE))</f>
        <v/>
      </c>
      <c r="S28" s="47"/>
      <c r="T28" s="326"/>
      <c r="U28" s="516" t="s">
        <v>673</v>
      </c>
      <c r="V28" s="516"/>
      <c r="W28" s="516"/>
      <c r="X28" s="516"/>
      <c r="Y28" s="517"/>
      <c r="AG28" s="737" t="s">
        <v>868</v>
      </c>
      <c r="AH28" s="721"/>
      <c r="AI28" s="721"/>
      <c r="AJ28" s="721"/>
      <c r="AK28" s="721"/>
      <c r="AL28" s="721"/>
      <c r="AM28" s="721"/>
      <c r="AN28" s="721"/>
      <c r="AO28" s="721"/>
      <c r="AP28" s="772"/>
      <c r="BR28" s="3"/>
    </row>
    <row r="29" spans="1:70" ht="15.75" thickBot="1" x14ac:dyDescent="0.3">
      <c r="A29" s="553" t="s">
        <v>421</v>
      </c>
      <c r="B29" s="555" t="s">
        <v>665</v>
      </c>
      <c r="C29" s="556"/>
      <c r="D29" s="556"/>
      <c r="E29" s="556"/>
      <c r="F29" s="556"/>
      <c r="G29" s="556"/>
      <c r="H29" s="556"/>
      <c r="I29" s="556"/>
      <c r="J29" s="556"/>
      <c r="K29" s="556"/>
      <c r="L29" s="556"/>
      <c r="M29" s="556"/>
      <c r="N29" s="556"/>
      <c r="O29" s="556"/>
      <c r="P29" s="556"/>
      <c r="Q29" s="557"/>
      <c r="R29" s="324"/>
      <c r="S29" s="324"/>
      <c r="T29" s="324"/>
      <c r="AG29" s="773">
        <v>0</v>
      </c>
      <c r="AH29" s="774"/>
      <c r="AI29" s="774">
        <v>-10</v>
      </c>
      <c r="AJ29" s="774"/>
      <c r="AK29" s="774">
        <v>-25</v>
      </c>
      <c r="AL29" s="774"/>
      <c r="AM29" s="774">
        <v>-50</v>
      </c>
      <c r="AN29" s="774"/>
      <c r="AO29" s="774">
        <v>-100</v>
      </c>
      <c r="AP29" s="775"/>
    </row>
    <row r="30" spans="1:70" ht="15.75" thickBot="1" x14ac:dyDescent="0.3">
      <c r="A30" s="554"/>
      <c r="B30" s="591" t="s">
        <v>183</v>
      </c>
      <c r="C30" s="576"/>
      <c r="D30" s="577"/>
      <c r="E30" s="575" t="s">
        <v>742</v>
      </c>
      <c r="F30" s="576"/>
      <c r="G30" s="577"/>
      <c r="H30" s="233" t="s">
        <v>345</v>
      </c>
      <c r="I30" s="234" t="s">
        <v>346</v>
      </c>
      <c r="J30" s="234" t="s">
        <v>350</v>
      </c>
      <c r="K30" s="234" t="s">
        <v>347</v>
      </c>
      <c r="L30" s="234" t="s">
        <v>348</v>
      </c>
      <c r="M30" s="234" t="s">
        <v>349</v>
      </c>
      <c r="N30" s="725" t="s">
        <v>747</v>
      </c>
      <c r="O30" s="726"/>
      <c r="P30" s="726"/>
      <c r="Q30" s="727"/>
      <c r="R30" s="234" t="s">
        <v>284</v>
      </c>
      <c r="S30" s="234" t="s">
        <v>287</v>
      </c>
      <c r="T30" s="720" t="s">
        <v>290</v>
      </c>
      <c r="U30" s="721"/>
      <c r="V30" s="714" t="s">
        <v>285</v>
      </c>
      <c r="W30" s="715"/>
      <c r="X30" s="451"/>
      <c r="Y30" s="768" t="s">
        <v>749</v>
      </c>
      <c r="Z30" s="769"/>
      <c r="AA30" s="769" t="s">
        <v>15</v>
      </c>
      <c r="AB30" s="769"/>
      <c r="AC30" s="769" t="s">
        <v>750</v>
      </c>
      <c r="AD30" s="769"/>
      <c r="AE30" s="769" t="s">
        <v>345</v>
      </c>
      <c r="AF30" s="769"/>
      <c r="AG30" s="769" t="s">
        <v>864</v>
      </c>
      <c r="AH30" s="769"/>
      <c r="AI30" s="770" t="s">
        <v>352</v>
      </c>
      <c r="AJ30" s="771"/>
      <c r="AK30" s="770" t="s">
        <v>865</v>
      </c>
      <c r="AL30" s="771"/>
      <c r="AM30" s="770" t="s">
        <v>866</v>
      </c>
      <c r="AN30" s="771"/>
      <c r="AO30" s="770" t="s">
        <v>867</v>
      </c>
      <c r="AP30" s="771"/>
      <c r="AQ30" s="770" t="s">
        <v>869</v>
      </c>
      <c r="AR30" s="510"/>
      <c r="AS30" s="459" t="s">
        <v>914</v>
      </c>
      <c r="AT30" s="473"/>
    </row>
    <row r="31" spans="1:70" x14ac:dyDescent="0.25">
      <c r="A31" s="191" t="s">
        <v>410</v>
      </c>
      <c r="B31" s="592"/>
      <c r="C31" s="579"/>
      <c r="D31" s="580"/>
      <c r="E31" s="578"/>
      <c r="F31" s="579"/>
      <c r="G31" s="580"/>
      <c r="H31" s="312"/>
      <c r="I31" s="286"/>
      <c r="J31" s="286"/>
      <c r="K31" s="288" t="str">
        <f>IF(I31="","",H31*I31)</f>
        <v/>
      </c>
      <c r="L31" s="289" t="str">
        <f>IF(J31="","",H31*J31)</f>
        <v/>
      </c>
      <c r="M31" s="289" t="str">
        <f>IF(I31="","",H31*(100-(I31*100)-(J31*100))/100)</f>
        <v/>
      </c>
      <c r="N31" s="722"/>
      <c r="O31" s="723"/>
      <c r="P31" s="723"/>
      <c r="Q31" s="728"/>
      <c r="R31" s="194"/>
      <c r="S31" s="194"/>
      <c r="T31" s="722"/>
      <c r="U31" s="723"/>
      <c r="V31" s="716"/>
      <c r="W31" s="717"/>
      <c r="X31" s="452"/>
      <c r="Y31" s="752" t="str">
        <f t="shared" ref="Y31:Y56" si="12">IF(A31="Weapon",VLOOKUP(C31,Weapon_Table,2,FALSE),"--")</f>
        <v>--</v>
      </c>
      <c r="Z31" s="753"/>
      <c r="AA31" s="753" t="str">
        <f t="shared" ref="AA31:AA56" si="13">IF(A31="Weapon",VLOOKUP(C31,Weapon_Table,3,FALSE),"--")</f>
        <v>--</v>
      </c>
      <c r="AB31" s="753"/>
      <c r="AC31" s="753" t="str">
        <f t="shared" ref="AC31:AC56" si="14">IF(A31="Weapon",VLOOKUP(C31,Weapon_Table,4,FALSE),"--")</f>
        <v>--</v>
      </c>
      <c r="AD31" s="753"/>
      <c r="AE31" s="753" t="str">
        <f t="shared" ref="AE31:AE56" si="15">IF(A31="Weapon",VLOOKUP(C31,Weapon_Table,5,FALSE),"--")</f>
        <v>--</v>
      </c>
      <c r="AF31" s="753"/>
      <c r="AG31" s="756" t="str">
        <f t="shared" ref="AG31:AG56" si="16">IF(A31="Weapon",VLOOKUP(C31,Weapon_Table,6,FALSE),"--")</f>
        <v>--</v>
      </c>
      <c r="AH31" s="756"/>
      <c r="AI31" s="758" t="str">
        <f t="shared" ref="AI31:AI56" si="17">IF(A31="Weapon",VLOOKUP(C31,Weapon_Table,7,FALSE),"--")</f>
        <v>--</v>
      </c>
      <c r="AJ31" s="759"/>
      <c r="AK31" s="758" t="str">
        <f t="shared" ref="AK31:AK56" si="18">IF(A31="Weapon",VLOOKUP(C31,Weapon_Table,8,FALSE),"--")</f>
        <v>--</v>
      </c>
      <c r="AL31" s="759"/>
      <c r="AM31" s="758" t="str">
        <f t="shared" ref="AM31:AM56" si="19">IF(A31="Weapon",VLOOKUP(C31,Weapon_Table,9,FALSE),"--")</f>
        <v>--</v>
      </c>
      <c r="AN31" s="759"/>
      <c r="AO31" s="758" t="str">
        <f t="shared" ref="AO31:AO56" si="20">IF(A31="Weapon",VLOOKUP(C31,Weapon_Table,10,FALSE),"--")</f>
        <v>--</v>
      </c>
      <c r="AP31" s="759"/>
      <c r="AQ31" s="762" t="str">
        <f t="shared" ref="AQ31:AQ56" si="21">IF(A31="Weapon",VLOOKUP(C31,Weapon_Table,11,FALSE),"--")</f>
        <v>--</v>
      </c>
      <c r="AR31" s="763"/>
      <c r="AS31" s="455" t="str">
        <f t="shared" ref="AS31:AS56" si="22">IF(ISNA(VLOOKUP(B31,OB,1,FALSE)),"--",VLOOKUP(B31,OB,2,FALSE))</f>
        <v>--</v>
      </c>
      <c r="AT31" s="456"/>
    </row>
    <row r="32" spans="1:70" x14ac:dyDescent="0.25">
      <c r="A32" s="192" t="s">
        <v>410</v>
      </c>
      <c r="B32" s="565"/>
      <c r="C32" s="566"/>
      <c r="D32" s="567"/>
      <c r="E32" s="568"/>
      <c r="F32" s="566"/>
      <c r="G32" s="567"/>
      <c r="H32" s="285"/>
      <c r="I32" s="287"/>
      <c r="J32" s="287"/>
      <c r="K32" s="288" t="str">
        <f t="shared" ref="K32:K56" si="23">IF(I32="","",H32*I32)</f>
        <v/>
      </c>
      <c r="L32" s="289" t="str">
        <f t="shared" ref="L32:L56" si="24">IF(J32="","",H32*J32)</f>
        <v/>
      </c>
      <c r="M32" s="289" t="str">
        <f t="shared" ref="M32:M56" si="25">IF(I32="","",H32*(100-(I32*100)-(J32*100))/100)</f>
        <v/>
      </c>
      <c r="N32" s="718"/>
      <c r="O32" s="719"/>
      <c r="P32" s="719"/>
      <c r="Q32" s="724"/>
      <c r="R32" s="195"/>
      <c r="S32" s="195"/>
      <c r="T32" s="718"/>
      <c r="U32" s="719"/>
      <c r="V32" s="716"/>
      <c r="W32" s="717"/>
      <c r="X32" s="452"/>
      <c r="Y32" s="752" t="str">
        <f t="shared" si="12"/>
        <v>--</v>
      </c>
      <c r="Z32" s="753"/>
      <c r="AA32" s="753" t="str">
        <f t="shared" si="13"/>
        <v>--</v>
      </c>
      <c r="AB32" s="753"/>
      <c r="AC32" s="753" t="str">
        <f t="shared" si="14"/>
        <v>--</v>
      </c>
      <c r="AD32" s="753"/>
      <c r="AE32" s="753" t="str">
        <f t="shared" si="15"/>
        <v>--</v>
      </c>
      <c r="AF32" s="753"/>
      <c r="AG32" s="756" t="str">
        <f t="shared" si="16"/>
        <v>--</v>
      </c>
      <c r="AH32" s="756"/>
      <c r="AI32" s="758" t="str">
        <f t="shared" si="17"/>
        <v>--</v>
      </c>
      <c r="AJ32" s="759"/>
      <c r="AK32" s="758" t="str">
        <f t="shared" si="18"/>
        <v>--</v>
      </c>
      <c r="AL32" s="759"/>
      <c r="AM32" s="758" t="str">
        <f t="shared" si="19"/>
        <v>--</v>
      </c>
      <c r="AN32" s="759"/>
      <c r="AO32" s="758" t="str">
        <f t="shared" si="20"/>
        <v>--</v>
      </c>
      <c r="AP32" s="759"/>
      <c r="AQ32" s="762" t="str">
        <f t="shared" si="21"/>
        <v>--</v>
      </c>
      <c r="AR32" s="763"/>
      <c r="AS32" s="455" t="str">
        <f t="shared" si="22"/>
        <v>--</v>
      </c>
      <c r="AT32" s="456"/>
    </row>
    <row r="33" spans="1:46" x14ac:dyDescent="0.25">
      <c r="A33" s="192" t="s">
        <v>410</v>
      </c>
      <c r="B33" s="565"/>
      <c r="C33" s="566"/>
      <c r="D33" s="567"/>
      <c r="E33" s="568"/>
      <c r="F33" s="566"/>
      <c r="G33" s="567"/>
      <c r="H33" s="285"/>
      <c r="I33" s="287"/>
      <c r="J33" s="287"/>
      <c r="K33" s="288" t="str">
        <f t="shared" si="23"/>
        <v/>
      </c>
      <c r="L33" s="289" t="str">
        <f t="shared" si="24"/>
        <v/>
      </c>
      <c r="M33" s="289" t="str">
        <f t="shared" si="25"/>
        <v/>
      </c>
      <c r="N33" s="718"/>
      <c r="O33" s="719"/>
      <c r="P33" s="719"/>
      <c r="Q33" s="724"/>
      <c r="R33" s="195"/>
      <c r="S33" s="195"/>
      <c r="T33" s="718"/>
      <c r="U33" s="719"/>
      <c r="V33" s="716"/>
      <c r="W33" s="717"/>
      <c r="X33" s="452"/>
      <c r="Y33" s="752" t="str">
        <f t="shared" si="12"/>
        <v>--</v>
      </c>
      <c r="Z33" s="753"/>
      <c r="AA33" s="753" t="str">
        <f t="shared" si="13"/>
        <v>--</v>
      </c>
      <c r="AB33" s="753"/>
      <c r="AC33" s="753" t="str">
        <f t="shared" si="14"/>
        <v>--</v>
      </c>
      <c r="AD33" s="753"/>
      <c r="AE33" s="753" t="str">
        <f t="shared" si="15"/>
        <v>--</v>
      </c>
      <c r="AF33" s="753"/>
      <c r="AG33" s="756" t="str">
        <f t="shared" si="16"/>
        <v>--</v>
      </c>
      <c r="AH33" s="756"/>
      <c r="AI33" s="758" t="str">
        <f t="shared" si="17"/>
        <v>--</v>
      </c>
      <c r="AJ33" s="759"/>
      <c r="AK33" s="758" t="str">
        <f t="shared" si="18"/>
        <v>--</v>
      </c>
      <c r="AL33" s="759"/>
      <c r="AM33" s="758" t="str">
        <f t="shared" si="19"/>
        <v>--</v>
      </c>
      <c r="AN33" s="759"/>
      <c r="AO33" s="758" t="str">
        <f t="shared" si="20"/>
        <v>--</v>
      </c>
      <c r="AP33" s="759"/>
      <c r="AQ33" s="762" t="str">
        <f t="shared" si="21"/>
        <v>--</v>
      </c>
      <c r="AR33" s="763"/>
      <c r="AS33" s="455" t="str">
        <f t="shared" si="22"/>
        <v>--</v>
      </c>
      <c r="AT33" s="456"/>
    </row>
    <row r="34" spans="1:46" x14ac:dyDescent="0.25">
      <c r="A34" s="192" t="s">
        <v>410</v>
      </c>
      <c r="B34" s="565"/>
      <c r="C34" s="566"/>
      <c r="D34" s="567"/>
      <c r="E34" s="568"/>
      <c r="F34" s="566"/>
      <c r="G34" s="567"/>
      <c r="H34" s="285"/>
      <c r="I34" s="287"/>
      <c r="J34" s="287"/>
      <c r="K34" s="288" t="str">
        <f t="shared" si="23"/>
        <v/>
      </c>
      <c r="L34" s="289" t="str">
        <f t="shared" si="24"/>
        <v/>
      </c>
      <c r="M34" s="289" t="str">
        <f t="shared" si="25"/>
        <v/>
      </c>
      <c r="N34" s="718"/>
      <c r="O34" s="719"/>
      <c r="P34" s="719"/>
      <c r="Q34" s="724"/>
      <c r="R34" s="195"/>
      <c r="S34" s="195"/>
      <c r="T34" s="718"/>
      <c r="U34" s="719"/>
      <c r="V34" s="716"/>
      <c r="W34" s="717"/>
      <c r="X34" s="452"/>
      <c r="Y34" s="752" t="str">
        <f t="shared" si="12"/>
        <v>--</v>
      </c>
      <c r="Z34" s="753"/>
      <c r="AA34" s="753" t="str">
        <f t="shared" si="13"/>
        <v>--</v>
      </c>
      <c r="AB34" s="753"/>
      <c r="AC34" s="753" t="str">
        <f t="shared" si="14"/>
        <v>--</v>
      </c>
      <c r="AD34" s="753"/>
      <c r="AE34" s="753" t="str">
        <f t="shared" si="15"/>
        <v>--</v>
      </c>
      <c r="AF34" s="753"/>
      <c r="AG34" s="756" t="str">
        <f t="shared" si="16"/>
        <v>--</v>
      </c>
      <c r="AH34" s="756"/>
      <c r="AI34" s="758" t="str">
        <f t="shared" si="17"/>
        <v>--</v>
      </c>
      <c r="AJ34" s="759"/>
      <c r="AK34" s="758" t="str">
        <f t="shared" si="18"/>
        <v>--</v>
      </c>
      <c r="AL34" s="759"/>
      <c r="AM34" s="758" t="str">
        <f t="shared" si="19"/>
        <v>--</v>
      </c>
      <c r="AN34" s="759"/>
      <c r="AO34" s="758" t="str">
        <f t="shared" si="20"/>
        <v>--</v>
      </c>
      <c r="AP34" s="759"/>
      <c r="AQ34" s="762" t="str">
        <f t="shared" si="21"/>
        <v>--</v>
      </c>
      <c r="AR34" s="763"/>
      <c r="AS34" s="455" t="str">
        <f t="shared" si="22"/>
        <v>--</v>
      </c>
      <c r="AT34" s="456"/>
    </row>
    <row r="35" spans="1:46" x14ac:dyDescent="0.25">
      <c r="A35" s="192" t="s">
        <v>410</v>
      </c>
      <c r="B35" s="565"/>
      <c r="C35" s="566"/>
      <c r="D35" s="567"/>
      <c r="E35" s="568"/>
      <c r="F35" s="566"/>
      <c r="G35" s="567"/>
      <c r="H35" s="285"/>
      <c r="I35" s="287"/>
      <c r="J35" s="287"/>
      <c r="K35" s="288" t="str">
        <f t="shared" si="23"/>
        <v/>
      </c>
      <c r="L35" s="289" t="str">
        <f t="shared" si="24"/>
        <v/>
      </c>
      <c r="M35" s="289" t="str">
        <f t="shared" si="25"/>
        <v/>
      </c>
      <c r="N35" s="718"/>
      <c r="O35" s="719"/>
      <c r="P35" s="719"/>
      <c r="Q35" s="724"/>
      <c r="R35" s="195"/>
      <c r="S35" s="195"/>
      <c r="T35" s="718"/>
      <c r="U35" s="719"/>
      <c r="V35" s="716"/>
      <c r="W35" s="717"/>
      <c r="X35" s="452"/>
      <c r="Y35" s="752" t="str">
        <f t="shared" si="12"/>
        <v>--</v>
      </c>
      <c r="Z35" s="753"/>
      <c r="AA35" s="753" t="str">
        <f t="shared" si="13"/>
        <v>--</v>
      </c>
      <c r="AB35" s="753"/>
      <c r="AC35" s="753" t="str">
        <f t="shared" si="14"/>
        <v>--</v>
      </c>
      <c r="AD35" s="753"/>
      <c r="AE35" s="753" t="str">
        <f t="shared" si="15"/>
        <v>--</v>
      </c>
      <c r="AF35" s="753"/>
      <c r="AG35" s="756" t="str">
        <f t="shared" si="16"/>
        <v>--</v>
      </c>
      <c r="AH35" s="756"/>
      <c r="AI35" s="758" t="str">
        <f t="shared" si="17"/>
        <v>--</v>
      </c>
      <c r="AJ35" s="759"/>
      <c r="AK35" s="758" t="str">
        <f t="shared" si="18"/>
        <v>--</v>
      </c>
      <c r="AL35" s="759"/>
      <c r="AM35" s="758" t="str">
        <f t="shared" si="19"/>
        <v>--</v>
      </c>
      <c r="AN35" s="759"/>
      <c r="AO35" s="758" t="str">
        <f t="shared" si="20"/>
        <v>--</v>
      </c>
      <c r="AP35" s="759"/>
      <c r="AQ35" s="762" t="str">
        <f t="shared" si="21"/>
        <v>--</v>
      </c>
      <c r="AR35" s="763"/>
      <c r="AS35" s="455" t="str">
        <f t="shared" si="22"/>
        <v>--</v>
      </c>
      <c r="AT35" s="456"/>
    </row>
    <row r="36" spans="1:46" x14ac:dyDescent="0.25">
      <c r="A36" s="192" t="s">
        <v>410</v>
      </c>
      <c r="B36" s="565"/>
      <c r="C36" s="566"/>
      <c r="D36" s="567"/>
      <c r="E36" s="568"/>
      <c r="F36" s="566"/>
      <c r="G36" s="567"/>
      <c r="H36" s="285"/>
      <c r="I36" s="287"/>
      <c r="J36" s="287"/>
      <c r="K36" s="288" t="str">
        <f t="shared" si="23"/>
        <v/>
      </c>
      <c r="L36" s="289" t="str">
        <f t="shared" si="24"/>
        <v/>
      </c>
      <c r="M36" s="289" t="str">
        <f t="shared" si="25"/>
        <v/>
      </c>
      <c r="N36" s="718"/>
      <c r="O36" s="719"/>
      <c r="P36" s="719"/>
      <c r="Q36" s="724"/>
      <c r="R36" s="195"/>
      <c r="S36" s="195"/>
      <c r="T36" s="718"/>
      <c r="U36" s="719"/>
      <c r="V36" s="716"/>
      <c r="W36" s="717"/>
      <c r="X36" s="452"/>
      <c r="Y36" s="752" t="str">
        <f t="shared" si="12"/>
        <v>--</v>
      </c>
      <c r="Z36" s="753"/>
      <c r="AA36" s="753" t="str">
        <f t="shared" si="13"/>
        <v>--</v>
      </c>
      <c r="AB36" s="753"/>
      <c r="AC36" s="753" t="str">
        <f t="shared" si="14"/>
        <v>--</v>
      </c>
      <c r="AD36" s="753"/>
      <c r="AE36" s="753" t="str">
        <f t="shared" si="15"/>
        <v>--</v>
      </c>
      <c r="AF36" s="753"/>
      <c r="AG36" s="756" t="str">
        <f t="shared" si="16"/>
        <v>--</v>
      </c>
      <c r="AH36" s="756"/>
      <c r="AI36" s="758" t="str">
        <f t="shared" si="17"/>
        <v>--</v>
      </c>
      <c r="AJ36" s="759"/>
      <c r="AK36" s="758" t="str">
        <f t="shared" si="18"/>
        <v>--</v>
      </c>
      <c r="AL36" s="759"/>
      <c r="AM36" s="758" t="str">
        <f t="shared" si="19"/>
        <v>--</v>
      </c>
      <c r="AN36" s="759"/>
      <c r="AO36" s="758" t="str">
        <f t="shared" si="20"/>
        <v>--</v>
      </c>
      <c r="AP36" s="759"/>
      <c r="AQ36" s="762" t="str">
        <f t="shared" si="21"/>
        <v>--</v>
      </c>
      <c r="AR36" s="763"/>
      <c r="AS36" s="455" t="str">
        <f t="shared" si="22"/>
        <v>--</v>
      </c>
      <c r="AT36" s="456"/>
    </row>
    <row r="37" spans="1:46" x14ac:dyDescent="0.25">
      <c r="A37" s="192" t="s">
        <v>410</v>
      </c>
      <c r="B37" s="565"/>
      <c r="C37" s="566"/>
      <c r="D37" s="567"/>
      <c r="E37" s="568"/>
      <c r="F37" s="566"/>
      <c r="G37" s="567"/>
      <c r="H37" s="285"/>
      <c r="I37" s="287"/>
      <c r="J37" s="287"/>
      <c r="K37" s="288" t="str">
        <f t="shared" si="23"/>
        <v/>
      </c>
      <c r="L37" s="289" t="str">
        <f t="shared" si="24"/>
        <v/>
      </c>
      <c r="M37" s="289" t="str">
        <f t="shared" si="25"/>
        <v/>
      </c>
      <c r="N37" s="718"/>
      <c r="O37" s="719"/>
      <c r="P37" s="719"/>
      <c r="Q37" s="724"/>
      <c r="R37" s="195"/>
      <c r="S37" s="195"/>
      <c r="T37" s="718"/>
      <c r="U37" s="719"/>
      <c r="V37" s="716"/>
      <c r="W37" s="717"/>
      <c r="X37" s="452"/>
      <c r="Y37" s="752" t="str">
        <f t="shared" si="12"/>
        <v>--</v>
      </c>
      <c r="Z37" s="753"/>
      <c r="AA37" s="753" t="str">
        <f t="shared" si="13"/>
        <v>--</v>
      </c>
      <c r="AB37" s="753"/>
      <c r="AC37" s="753" t="str">
        <f t="shared" si="14"/>
        <v>--</v>
      </c>
      <c r="AD37" s="753"/>
      <c r="AE37" s="753" t="str">
        <f t="shared" si="15"/>
        <v>--</v>
      </c>
      <c r="AF37" s="753"/>
      <c r="AG37" s="756" t="str">
        <f t="shared" si="16"/>
        <v>--</v>
      </c>
      <c r="AH37" s="756"/>
      <c r="AI37" s="758" t="str">
        <f t="shared" si="17"/>
        <v>--</v>
      </c>
      <c r="AJ37" s="759"/>
      <c r="AK37" s="758" t="str">
        <f t="shared" si="18"/>
        <v>--</v>
      </c>
      <c r="AL37" s="759"/>
      <c r="AM37" s="758" t="str">
        <f t="shared" si="19"/>
        <v>--</v>
      </c>
      <c r="AN37" s="759"/>
      <c r="AO37" s="758" t="str">
        <f t="shared" si="20"/>
        <v>--</v>
      </c>
      <c r="AP37" s="759"/>
      <c r="AQ37" s="762" t="str">
        <f t="shared" si="21"/>
        <v>--</v>
      </c>
      <c r="AR37" s="763"/>
      <c r="AS37" s="455" t="str">
        <f t="shared" si="22"/>
        <v>--</v>
      </c>
      <c r="AT37" s="456"/>
    </row>
    <row r="38" spans="1:46" x14ac:dyDescent="0.25">
      <c r="A38" s="192" t="s">
        <v>410</v>
      </c>
      <c r="B38" s="565"/>
      <c r="C38" s="566"/>
      <c r="D38" s="567"/>
      <c r="E38" s="568"/>
      <c r="F38" s="566"/>
      <c r="G38" s="567"/>
      <c r="H38" s="285"/>
      <c r="I38" s="287"/>
      <c r="J38" s="287"/>
      <c r="K38" s="288" t="str">
        <f t="shared" si="23"/>
        <v/>
      </c>
      <c r="L38" s="289" t="str">
        <f t="shared" si="24"/>
        <v/>
      </c>
      <c r="M38" s="289" t="str">
        <f t="shared" si="25"/>
        <v/>
      </c>
      <c r="N38" s="718"/>
      <c r="O38" s="719"/>
      <c r="P38" s="719"/>
      <c r="Q38" s="724"/>
      <c r="R38" s="195"/>
      <c r="S38" s="195"/>
      <c r="T38" s="718"/>
      <c r="U38" s="719"/>
      <c r="V38" s="716"/>
      <c r="W38" s="717"/>
      <c r="X38" s="452"/>
      <c r="Y38" s="752" t="str">
        <f t="shared" si="12"/>
        <v>--</v>
      </c>
      <c r="Z38" s="753"/>
      <c r="AA38" s="753" t="str">
        <f t="shared" si="13"/>
        <v>--</v>
      </c>
      <c r="AB38" s="753"/>
      <c r="AC38" s="753" t="str">
        <f t="shared" si="14"/>
        <v>--</v>
      </c>
      <c r="AD38" s="753"/>
      <c r="AE38" s="753" t="str">
        <f t="shared" si="15"/>
        <v>--</v>
      </c>
      <c r="AF38" s="753"/>
      <c r="AG38" s="756" t="str">
        <f t="shared" si="16"/>
        <v>--</v>
      </c>
      <c r="AH38" s="756"/>
      <c r="AI38" s="758" t="str">
        <f t="shared" si="17"/>
        <v>--</v>
      </c>
      <c r="AJ38" s="759"/>
      <c r="AK38" s="758" t="str">
        <f t="shared" si="18"/>
        <v>--</v>
      </c>
      <c r="AL38" s="759"/>
      <c r="AM38" s="758" t="str">
        <f t="shared" si="19"/>
        <v>--</v>
      </c>
      <c r="AN38" s="759"/>
      <c r="AO38" s="758" t="str">
        <f t="shared" si="20"/>
        <v>--</v>
      </c>
      <c r="AP38" s="759"/>
      <c r="AQ38" s="762" t="str">
        <f t="shared" si="21"/>
        <v>--</v>
      </c>
      <c r="AR38" s="763"/>
      <c r="AS38" s="455" t="str">
        <f t="shared" si="22"/>
        <v>--</v>
      </c>
      <c r="AT38" s="456"/>
    </row>
    <row r="39" spans="1:46" x14ac:dyDescent="0.25">
      <c r="A39" s="192" t="s">
        <v>410</v>
      </c>
      <c r="B39" s="565"/>
      <c r="C39" s="566"/>
      <c r="D39" s="567"/>
      <c r="E39" s="568"/>
      <c r="F39" s="566"/>
      <c r="G39" s="567"/>
      <c r="H39" s="285"/>
      <c r="I39" s="287"/>
      <c r="J39" s="287"/>
      <c r="K39" s="288" t="str">
        <f t="shared" si="23"/>
        <v/>
      </c>
      <c r="L39" s="289" t="str">
        <f t="shared" si="24"/>
        <v/>
      </c>
      <c r="M39" s="289" t="str">
        <f t="shared" si="25"/>
        <v/>
      </c>
      <c r="N39" s="718"/>
      <c r="O39" s="719"/>
      <c r="P39" s="719"/>
      <c r="Q39" s="724"/>
      <c r="R39" s="195"/>
      <c r="S39" s="195"/>
      <c r="T39" s="718"/>
      <c r="U39" s="719"/>
      <c r="V39" s="716"/>
      <c r="W39" s="717"/>
      <c r="X39" s="452"/>
      <c r="Y39" s="752" t="str">
        <f t="shared" si="12"/>
        <v>--</v>
      </c>
      <c r="Z39" s="753"/>
      <c r="AA39" s="753" t="str">
        <f t="shared" si="13"/>
        <v>--</v>
      </c>
      <c r="AB39" s="753"/>
      <c r="AC39" s="753" t="str">
        <f t="shared" si="14"/>
        <v>--</v>
      </c>
      <c r="AD39" s="753"/>
      <c r="AE39" s="753" t="str">
        <f t="shared" si="15"/>
        <v>--</v>
      </c>
      <c r="AF39" s="753"/>
      <c r="AG39" s="756" t="str">
        <f t="shared" si="16"/>
        <v>--</v>
      </c>
      <c r="AH39" s="756"/>
      <c r="AI39" s="758" t="str">
        <f t="shared" si="17"/>
        <v>--</v>
      </c>
      <c r="AJ39" s="759"/>
      <c r="AK39" s="758" t="str">
        <f t="shared" si="18"/>
        <v>--</v>
      </c>
      <c r="AL39" s="759"/>
      <c r="AM39" s="758" t="str">
        <f t="shared" si="19"/>
        <v>--</v>
      </c>
      <c r="AN39" s="759"/>
      <c r="AO39" s="758" t="str">
        <f t="shared" si="20"/>
        <v>--</v>
      </c>
      <c r="AP39" s="759"/>
      <c r="AQ39" s="762" t="str">
        <f t="shared" si="21"/>
        <v>--</v>
      </c>
      <c r="AR39" s="763"/>
      <c r="AS39" s="455" t="str">
        <f t="shared" si="22"/>
        <v>--</v>
      </c>
      <c r="AT39" s="456"/>
    </row>
    <row r="40" spans="1:46" x14ac:dyDescent="0.25">
      <c r="A40" s="192" t="s">
        <v>410</v>
      </c>
      <c r="B40" s="565"/>
      <c r="C40" s="566"/>
      <c r="D40" s="567"/>
      <c r="E40" s="568"/>
      <c r="F40" s="566"/>
      <c r="G40" s="567"/>
      <c r="H40" s="285"/>
      <c r="I40" s="287"/>
      <c r="J40" s="287"/>
      <c r="K40" s="288" t="str">
        <f t="shared" si="23"/>
        <v/>
      </c>
      <c r="L40" s="289" t="str">
        <f t="shared" si="24"/>
        <v/>
      </c>
      <c r="M40" s="289" t="str">
        <f t="shared" si="25"/>
        <v/>
      </c>
      <c r="N40" s="718"/>
      <c r="O40" s="719"/>
      <c r="P40" s="719"/>
      <c r="Q40" s="724"/>
      <c r="R40" s="195"/>
      <c r="S40" s="195"/>
      <c r="T40" s="718"/>
      <c r="U40" s="719"/>
      <c r="V40" s="716"/>
      <c r="W40" s="717"/>
      <c r="X40" s="452"/>
      <c r="Y40" s="752" t="str">
        <f t="shared" si="12"/>
        <v>--</v>
      </c>
      <c r="Z40" s="753"/>
      <c r="AA40" s="753" t="str">
        <f t="shared" si="13"/>
        <v>--</v>
      </c>
      <c r="AB40" s="753"/>
      <c r="AC40" s="753" t="str">
        <f t="shared" si="14"/>
        <v>--</v>
      </c>
      <c r="AD40" s="753"/>
      <c r="AE40" s="753" t="str">
        <f t="shared" si="15"/>
        <v>--</v>
      </c>
      <c r="AF40" s="753"/>
      <c r="AG40" s="756" t="str">
        <f t="shared" si="16"/>
        <v>--</v>
      </c>
      <c r="AH40" s="756"/>
      <c r="AI40" s="758" t="str">
        <f t="shared" si="17"/>
        <v>--</v>
      </c>
      <c r="AJ40" s="759"/>
      <c r="AK40" s="758" t="str">
        <f t="shared" si="18"/>
        <v>--</v>
      </c>
      <c r="AL40" s="759"/>
      <c r="AM40" s="758" t="str">
        <f t="shared" si="19"/>
        <v>--</v>
      </c>
      <c r="AN40" s="759"/>
      <c r="AO40" s="758" t="str">
        <f t="shared" si="20"/>
        <v>--</v>
      </c>
      <c r="AP40" s="759"/>
      <c r="AQ40" s="762" t="str">
        <f t="shared" si="21"/>
        <v>--</v>
      </c>
      <c r="AR40" s="763"/>
      <c r="AS40" s="455" t="str">
        <f t="shared" si="22"/>
        <v>--</v>
      </c>
      <c r="AT40" s="456"/>
    </row>
    <row r="41" spans="1:46" x14ac:dyDescent="0.25">
      <c r="A41" s="192" t="s">
        <v>410</v>
      </c>
      <c r="B41" s="565"/>
      <c r="C41" s="566"/>
      <c r="D41" s="567"/>
      <c r="E41" s="568"/>
      <c r="F41" s="566"/>
      <c r="G41" s="567"/>
      <c r="H41" s="285"/>
      <c r="I41" s="287"/>
      <c r="J41" s="287"/>
      <c r="K41" s="288" t="str">
        <f t="shared" si="23"/>
        <v/>
      </c>
      <c r="L41" s="289" t="str">
        <f t="shared" si="24"/>
        <v/>
      </c>
      <c r="M41" s="289" t="str">
        <f t="shared" si="25"/>
        <v/>
      </c>
      <c r="N41" s="718"/>
      <c r="O41" s="719"/>
      <c r="P41" s="719"/>
      <c r="Q41" s="724"/>
      <c r="R41" s="195"/>
      <c r="S41" s="195"/>
      <c r="T41" s="718"/>
      <c r="U41" s="719"/>
      <c r="V41" s="716"/>
      <c r="W41" s="717"/>
      <c r="X41" s="452"/>
      <c r="Y41" s="752" t="str">
        <f t="shared" si="12"/>
        <v>--</v>
      </c>
      <c r="Z41" s="753"/>
      <c r="AA41" s="753" t="str">
        <f t="shared" si="13"/>
        <v>--</v>
      </c>
      <c r="AB41" s="753"/>
      <c r="AC41" s="753" t="str">
        <f t="shared" si="14"/>
        <v>--</v>
      </c>
      <c r="AD41" s="753"/>
      <c r="AE41" s="753" t="str">
        <f t="shared" si="15"/>
        <v>--</v>
      </c>
      <c r="AF41" s="753"/>
      <c r="AG41" s="756" t="str">
        <f t="shared" si="16"/>
        <v>--</v>
      </c>
      <c r="AH41" s="756"/>
      <c r="AI41" s="758" t="str">
        <f t="shared" si="17"/>
        <v>--</v>
      </c>
      <c r="AJ41" s="759"/>
      <c r="AK41" s="758" t="str">
        <f t="shared" si="18"/>
        <v>--</v>
      </c>
      <c r="AL41" s="759"/>
      <c r="AM41" s="758" t="str">
        <f t="shared" si="19"/>
        <v>--</v>
      </c>
      <c r="AN41" s="759"/>
      <c r="AO41" s="758" t="str">
        <f t="shared" si="20"/>
        <v>--</v>
      </c>
      <c r="AP41" s="759"/>
      <c r="AQ41" s="762" t="str">
        <f t="shared" si="21"/>
        <v>--</v>
      </c>
      <c r="AR41" s="763"/>
      <c r="AS41" s="455" t="str">
        <f t="shared" si="22"/>
        <v>--</v>
      </c>
      <c r="AT41" s="456"/>
    </row>
    <row r="42" spans="1:46" x14ac:dyDescent="0.25">
      <c r="A42" s="192" t="s">
        <v>410</v>
      </c>
      <c r="B42" s="565"/>
      <c r="C42" s="566"/>
      <c r="D42" s="567"/>
      <c r="E42" s="568"/>
      <c r="F42" s="566"/>
      <c r="G42" s="567"/>
      <c r="H42" s="285"/>
      <c r="I42" s="287"/>
      <c r="J42" s="287"/>
      <c r="K42" s="288" t="str">
        <f t="shared" si="23"/>
        <v/>
      </c>
      <c r="L42" s="289" t="str">
        <f t="shared" si="24"/>
        <v/>
      </c>
      <c r="M42" s="289" t="str">
        <f t="shared" si="25"/>
        <v/>
      </c>
      <c r="N42" s="718"/>
      <c r="O42" s="719"/>
      <c r="P42" s="719"/>
      <c r="Q42" s="724"/>
      <c r="R42" s="195"/>
      <c r="S42" s="195"/>
      <c r="T42" s="718"/>
      <c r="U42" s="719"/>
      <c r="V42" s="716"/>
      <c r="W42" s="717"/>
      <c r="X42" s="452"/>
      <c r="Y42" s="752" t="str">
        <f t="shared" si="12"/>
        <v>--</v>
      </c>
      <c r="Z42" s="753"/>
      <c r="AA42" s="753" t="str">
        <f t="shared" si="13"/>
        <v>--</v>
      </c>
      <c r="AB42" s="753"/>
      <c r="AC42" s="753" t="str">
        <f t="shared" si="14"/>
        <v>--</v>
      </c>
      <c r="AD42" s="753"/>
      <c r="AE42" s="753" t="str">
        <f t="shared" si="15"/>
        <v>--</v>
      </c>
      <c r="AF42" s="753"/>
      <c r="AG42" s="756" t="str">
        <f t="shared" si="16"/>
        <v>--</v>
      </c>
      <c r="AH42" s="756"/>
      <c r="AI42" s="758" t="str">
        <f t="shared" si="17"/>
        <v>--</v>
      </c>
      <c r="AJ42" s="759"/>
      <c r="AK42" s="758" t="str">
        <f t="shared" si="18"/>
        <v>--</v>
      </c>
      <c r="AL42" s="759"/>
      <c r="AM42" s="758" t="str">
        <f t="shared" si="19"/>
        <v>--</v>
      </c>
      <c r="AN42" s="759"/>
      <c r="AO42" s="758" t="str">
        <f t="shared" si="20"/>
        <v>--</v>
      </c>
      <c r="AP42" s="759"/>
      <c r="AQ42" s="762" t="str">
        <f t="shared" si="21"/>
        <v>--</v>
      </c>
      <c r="AR42" s="763"/>
      <c r="AS42" s="455" t="str">
        <f t="shared" si="22"/>
        <v>--</v>
      </c>
      <c r="AT42" s="456"/>
    </row>
    <row r="43" spans="1:46" x14ac:dyDescent="0.25">
      <c r="A43" s="192" t="s">
        <v>410</v>
      </c>
      <c r="B43" s="565"/>
      <c r="C43" s="566"/>
      <c r="D43" s="567"/>
      <c r="E43" s="568"/>
      <c r="F43" s="566"/>
      <c r="G43" s="567"/>
      <c r="H43" s="285"/>
      <c r="I43" s="287"/>
      <c r="J43" s="287"/>
      <c r="K43" s="288" t="str">
        <f t="shared" si="23"/>
        <v/>
      </c>
      <c r="L43" s="289" t="str">
        <f t="shared" si="24"/>
        <v/>
      </c>
      <c r="M43" s="289" t="str">
        <f t="shared" si="25"/>
        <v/>
      </c>
      <c r="N43" s="718"/>
      <c r="O43" s="719"/>
      <c r="P43" s="719"/>
      <c r="Q43" s="724"/>
      <c r="R43" s="195"/>
      <c r="S43" s="195"/>
      <c r="T43" s="718"/>
      <c r="U43" s="719"/>
      <c r="V43" s="716"/>
      <c r="W43" s="717"/>
      <c r="X43" s="452"/>
      <c r="Y43" s="752" t="str">
        <f t="shared" si="12"/>
        <v>--</v>
      </c>
      <c r="Z43" s="753"/>
      <c r="AA43" s="753" t="str">
        <f t="shared" si="13"/>
        <v>--</v>
      </c>
      <c r="AB43" s="753"/>
      <c r="AC43" s="753" t="str">
        <f t="shared" si="14"/>
        <v>--</v>
      </c>
      <c r="AD43" s="753"/>
      <c r="AE43" s="753" t="str">
        <f t="shared" si="15"/>
        <v>--</v>
      </c>
      <c r="AF43" s="753"/>
      <c r="AG43" s="756" t="str">
        <f t="shared" si="16"/>
        <v>--</v>
      </c>
      <c r="AH43" s="756"/>
      <c r="AI43" s="758" t="str">
        <f t="shared" si="17"/>
        <v>--</v>
      </c>
      <c r="AJ43" s="759"/>
      <c r="AK43" s="758" t="str">
        <f t="shared" si="18"/>
        <v>--</v>
      </c>
      <c r="AL43" s="759"/>
      <c r="AM43" s="758" t="str">
        <f t="shared" si="19"/>
        <v>--</v>
      </c>
      <c r="AN43" s="759"/>
      <c r="AO43" s="758" t="str">
        <f t="shared" si="20"/>
        <v>--</v>
      </c>
      <c r="AP43" s="759"/>
      <c r="AQ43" s="762" t="str">
        <f t="shared" si="21"/>
        <v>--</v>
      </c>
      <c r="AR43" s="763"/>
      <c r="AS43" s="455" t="str">
        <f t="shared" si="22"/>
        <v>--</v>
      </c>
      <c r="AT43" s="456"/>
    </row>
    <row r="44" spans="1:46" x14ac:dyDescent="0.25">
      <c r="A44" s="192" t="s">
        <v>410</v>
      </c>
      <c r="B44" s="565"/>
      <c r="C44" s="566"/>
      <c r="D44" s="567"/>
      <c r="E44" s="568"/>
      <c r="F44" s="566"/>
      <c r="G44" s="567"/>
      <c r="H44" s="285"/>
      <c r="I44" s="287"/>
      <c r="J44" s="287"/>
      <c r="K44" s="288" t="str">
        <f t="shared" si="23"/>
        <v/>
      </c>
      <c r="L44" s="289" t="str">
        <f t="shared" si="24"/>
        <v/>
      </c>
      <c r="M44" s="289" t="str">
        <f t="shared" si="25"/>
        <v/>
      </c>
      <c r="N44" s="718"/>
      <c r="O44" s="719"/>
      <c r="P44" s="719"/>
      <c r="Q44" s="724"/>
      <c r="R44" s="195"/>
      <c r="S44" s="195"/>
      <c r="T44" s="718"/>
      <c r="U44" s="719"/>
      <c r="V44" s="716"/>
      <c r="W44" s="717"/>
      <c r="X44" s="452"/>
      <c r="Y44" s="752" t="str">
        <f t="shared" si="12"/>
        <v>--</v>
      </c>
      <c r="Z44" s="753"/>
      <c r="AA44" s="753" t="str">
        <f t="shared" si="13"/>
        <v>--</v>
      </c>
      <c r="AB44" s="753"/>
      <c r="AC44" s="753" t="str">
        <f t="shared" si="14"/>
        <v>--</v>
      </c>
      <c r="AD44" s="753"/>
      <c r="AE44" s="753" t="str">
        <f t="shared" si="15"/>
        <v>--</v>
      </c>
      <c r="AF44" s="753"/>
      <c r="AG44" s="756" t="str">
        <f t="shared" si="16"/>
        <v>--</v>
      </c>
      <c r="AH44" s="756"/>
      <c r="AI44" s="758" t="str">
        <f t="shared" si="17"/>
        <v>--</v>
      </c>
      <c r="AJ44" s="759"/>
      <c r="AK44" s="758" t="str">
        <f t="shared" si="18"/>
        <v>--</v>
      </c>
      <c r="AL44" s="759"/>
      <c r="AM44" s="758" t="str">
        <f t="shared" si="19"/>
        <v>--</v>
      </c>
      <c r="AN44" s="759"/>
      <c r="AO44" s="758" t="str">
        <f t="shared" si="20"/>
        <v>--</v>
      </c>
      <c r="AP44" s="759"/>
      <c r="AQ44" s="762" t="str">
        <f t="shared" si="21"/>
        <v>--</v>
      </c>
      <c r="AR44" s="763"/>
      <c r="AS44" s="455" t="str">
        <f t="shared" si="22"/>
        <v>--</v>
      </c>
      <c r="AT44" s="456"/>
    </row>
    <row r="45" spans="1:46" x14ac:dyDescent="0.25">
      <c r="A45" s="192" t="s">
        <v>410</v>
      </c>
      <c r="B45" s="565"/>
      <c r="C45" s="566"/>
      <c r="D45" s="567"/>
      <c r="E45" s="568"/>
      <c r="F45" s="566"/>
      <c r="G45" s="567"/>
      <c r="H45" s="285"/>
      <c r="I45" s="287"/>
      <c r="J45" s="287"/>
      <c r="K45" s="288" t="str">
        <f t="shared" si="23"/>
        <v/>
      </c>
      <c r="L45" s="289" t="str">
        <f t="shared" si="24"/>
        <v/>
      </c>
      <c r="M45" s="289" t="str">
        <f t="shared" si="25"/>
        <v/>
      </c>
      <c r="N45" s="718"/>
      <c r="O45" s="719"/>
      <c r="P45" s="719"/>
      <c r="Q45" s="724"/>
      <c r="R45" s="195"/>
      <c r="S45" s="195"/>
      <c r="T45" s="718"/>
      <c r="U45" s="719"/>
      <c r="V45" s="716"/>
      <c r="W45" s="717"/>
      <c r="X45" s="452"/>
      <c r="Y45" s="752" t="str">
        <f t="shared" si="12"/>
        <v>--</v>
      </c>
      <c r="Z45" s="753"/>
      <c r="AA45" s="753" t="str">
        <f t="shared" si="13"/>
        <v>--</v>
      </c>
      <c r="AB45" s="753"/>
      <c r="AC45" s="753" t="str">
        <f t="shared" si="14"/>
        <v>--</v>
      </c>
      <c r="AD45" s="753"/>
      <c r="AE45" s="753" t="str">
        <f t="shared" si="15"/>
        <v>--</v>
      </c>
      <c r="AF45" s="753"/>
      <c r="AG45" s="756" t="str">
        <f t="shared" si="16"/>
        <v>--</v>
      </c>
      <c r="AH45" s="756"/>
      <c r="AI45" s="758" t="str">
        <f t="shared" si="17"/>
        <v>--</v>
      </c>
      <c r="AJ45" s="759"/>
      <c r="AK45" s="758" t="str">
        <f t="shared" si="18"/>
        <v>--</v>
      </c>
      <c r="AL45" s="759"/>
      <c r="AM45" s="758" t="str">
        <f t="shared" si="19"/>
        <v>--</v>
      </c>
      <c r="AN45" s="759"/>
      <c r="AO45" s="758" t="str">
        <f t="shared" si="20"/>
        <v>--</v>
      </c>
      <c r="AP45" s="759"/>
      <c r="AQ45" s="762" t="str">
        <f t="shared" si="21"/>
        <v>--</v>
      </c>
      <c r="AR45" s="763"/>
      <c r="AS45" s="455" t="str">
        <f t="shared" si="22"/>
        <v>--</v>
      </c>
      <c r="AT45" s="456"/>
    </row>
    <row r="46" spans="1:46" x14ac:dyDescent="0.25">
      <c r="A46" s="192" t="s">
        <v>410</v>
      </c>
      <c r="B46" s="593"/>
      <c r="C46" s="563"/>
      <c r="D46" s="564"/>
      <c r="E46" s="562"/>
      <c r="F46" s="563"/>
      <c r="G46" s="564"/>
      <c r="H46" s="285"/>
      <c r="I46" s="287"/>
      <c r="J46" s="287"/>
      <c r="K46" s="288" t="str">
        <f>IF(I46="","",H46*I46)</f>
        <v/>
      </c>
      <c r="L46" s="289" t="str">
        <f t="shared" si="24"/>
        <v/>
      </c>
      <c r="M46" s="289" t="str">
        <f t="shared" si="25"/>
        <v/>
      </c>
      <c r="N46" s="718"/>
      <c r="O46" s="719"/>
      <c r="P46" s="719"/>
      <c r="Q46" s="724"/>
      <c r="R46" s="195"/>
      <c r="S46" s="195"/>
      <c r="T46" s="718"/>
      <c r="U46" s="719"/>
      <c r="V46" s="716"/>
      <c r="W46" s="717"/>
      <c r="X46" s="452"/>
      <c r="Y46" s="752" t="str">
        <f t="shared" si="12"/>
        <v>--</v>
      </c>
      <c r="Z46" s="753"/>
      <c r="AA46" s="753" t="str">
        <f t="shared" si="13"/>
        <v>--</v>
      </c>
      <c r="AB46" s="753"/>
      <c r="AC46" s="753" t="str">
        <f t="shared" si="14"/>
        <v>--</v>
      </c>
      <c r="AD46" s="753"/>
      <c r="AE46" s="753" t="str">
        <f t="shared" si="15"/>
        <v>--</v>
      </c>
      <c r="AF46" s="753"/>
      <c r="AG46" s="756" t="str">
        <f t="shared" si="16"/>
        <v>--</v>
      </c>
      <c r="AH46" s="756"/>
      <c r="AI46" s="758" t="str">
        <f t="shared" si="17"/>
        <v>--</v>
      </c>
      <c r="AJ46" s="759"/>
      <c r="AK46" s="758" t="str">
        <f t="shared" si="18"/>
        <v>--</v>
      </c>
      <c r="AL46" s="759"/>
      <c r="AM46" s="758" t="str">
        <f t="shared" si="19"/>
        <v>--</v>
      </c>
      <c r="AN46" s="759"/>
      <c r="AO46" s="758" t="str">
        <f t="shared" si="20"/>
        <v>--</v>
      </c>
      <c r="AP46" s="759"/>
      <c r="AQ46" s="762" t="str">
        <f t="shared" si="21"/>
        <v>--</v>
      </c>
      <c r="AR46" s="763"/>
      <c r="AS46" s="455" t="str">
        <f t="shared" si="22"/>
        <v>--</v>
      </c>
      <c r="AT46" s="456"/>
    </row>
    <row r="47" spans="1:46" x14ac:dyDescent="0.25">
      <c r="A47" s="192" t="s">
        <v>410</v>
      </c>
      <c r="B47" s="593"/>
      <c r="C47" s="563"/>
      <c r="D47" s="564"/>
      <c r="E47" s="562"/>
      <c r="F47" s="563"/>
      <c r="G47" s="564"/>
      <c r="H47" s="285"/>
      <c r="I47" s="287"/>
      <c r="J47" s="287"/>
      <c r="K47" s="288" t="str">
        <f t="shared" si="23"/>
        <v/>
      </c>
      <c r="L47" s="289" t="str">
        <f t="shared" si="24"/>
        <v/>
      </c>
      <c r="M47" s="289" t="str">
        <f t="shared" si="25"/>
        <v/>
      </c>
      <c r="N47" s="718"/>
      <c r="O47" s="719"/>
      <c r="P47" s="719"/>
      <c r="Q47" s="724"/>
      <c r="R47" s="196"/>
      <c r="S47" s="196"/>
      <c r="T47" s="718"/>
      <c r="U47" s="719"/>
      <c r="V47" s="716"/>
      <c r="W47" s="717"/>
      <c r="X47" s="452"/>
      <c r="Y47" s="752" t="str">
        <f t="shared" si="12"/>
        <v>--</v>
      </c>
      <c r="Z47" s="753"/>
      <c r="AA47" s="753" t="str">
        <f t="shared" si="13"/>
        <v>--</v>
      </c>
      <c r="AB47" s="753"/>
      <c r="AC47" s="753" t="str">
        <f t="shared" si="14"/>
        <v>--</v>
      </c>
      <c r="AD47" s="753"/>
      <c r="AE47" s="753" t="str">
        <f t="shared" si="15"/>
        <v>--</v>
      </c>
      <c r="AF47" s="753"/>
      <c r="AG47" s="756" t="str">
        <f t="shared" si="16"/>
        <v>--</v>
      </c>
      <c r="AH47" s="756"/>
      <c r="AI47" s="758" t="str">
        <f t="shared" si="17"/>
        <v>--</v>
      </c>
      <c r="AJ47" s="759"/>
      <c r="AK47" s="758" t="str">
        <f t="shared" si="18"/>
        <v>--</v>
      </c>
      <c r="AL47" s="759"/>
      <c r="AM47" s="758" t="str">
        <f t="shared" si="19"/>
        <v>--</v>
      </c>
      <c r="AN47" s="759"/>
      <c r="AO47" s="758" t="str">
        <f t="shared" si="20"/>
        <v>--</v>
      </c>
      <c r="AP47" s="759"/>
      <c r="AQ47" s="762" t="str">
        <f t="shared" si="21"/>
        <v>--</v>
      </c>
      <c r="AR47" s="763"/>
      <c r="AS47" s="455" t="str">
        <f t="shared" si="22"/>
        <v>--</v>
      </c>
      <c r="AT47" s="456"/>
    </row>
    <row r="48" spans="1:46" x14ac:dyDescent="0.25">
      <c r="A48" s="192" t="s">
        <v>410</v>
      </c>
      <c r="B48" s="593"/>
      <c r="C48" s="563"/>
      <c r="D48" s="564"/>
      <c r="E48" s="562"/>
      <c r="F48" s="563"/>
      <c r="G48" s="564"/>
      <c r="H48" s="285"/>
      <c r="I48" s="287"/>
      <c r="J48" s="287"/>
      <c r="K48" s="288" t="str">
        <f t="shared" si="23"/>
        <v/>
      </c>
      <c r="L48" s="289" t="str">
        <f t="shared" si="24"/>
        <v/>
      </c>
      <c r="M48" s="289" t="str">
        <f t="shared" si="25"/>
        <v/>
      </c>
      <c r="N48" s="718"/>
      <c r="O48" s="719"/>
      <c r="P48" s="719"/>
      <c r="Q48" s="724"/>
      <c r="R48" s="195"/>
      <c r="S48" s="195"/>
      <c r="T48" s="718"/>
      <c r="U48" s="719"/>
      <c r="V48" s="716"/>
      <c r="W48" s="717"/>
      <c r="X48" s="452"/>
      <c r="Y48" s="752" t="str">
        <f t="shared" si="12"/>
        <v>--</v>
      </c>
      <c r="Z48" s="753"/>
      <c r="AA48" s="753" t="str">
        <f t="shared" si="13"/>
        <v>--</v>
      </c>
      <c r="AB48" s="753"/>
      <c r="AC48" s="753" t="str">
        <f t="shared" si="14"/>
        <v>--</v>
      </c>
      <c r="AD48" s="753"/>
      <c r="AE48" s="753" t="str">
        <f t="shared" si="15"/>
        <v>--</v>
      </c>
      <c r="AF48" s="753"/>
      <c r="AG48" s="756" t="str">
        <f t="shared" si="16"/>
        <v>--</v>
      </c>
      <c r="AH48" s="756"/>
      <c r="AI48" s="758" t="str">
        <f t="shared" si="17"/>
        <v>--</v>
      </c>
      <c r="AJ48" s="759"/>
      <c r="AK48" s="758" t="str">
        <f t="shared" si="18"/>
        <v>--</v>
      </c>
      <c r="AL48" s="759"/>
      <c r="AM48" s="758" t="str">
        <f t="shared" si="19"/>
        <v>--</v>
      </c>
      <c r="AN48" s="759"/>
      <c r="AO48" s="758" t="str">
        <f t="shared" si="20"/>
        <v>--</v>
      </c>
      <c r="AP48" s="759"/>
      <c r="AQ48" s="762" t="str">
        <f t="shared" si="21"/>
        <v>--</v>
      </c>
      <c r="AR48" s="763"/>
      <c r="AS48" s="455" t="str">
        <f t="shared" si="22"/>
        <v>--</v>
      </c>
      <c r="AT48" s="456"/>
    </row>
    <row r="49" spans="1:46" x14ac:dyDescent="0.25">
      <c r="A49" s="192" t="s">
        <v>410</v>
      </c>
      <c r="B49" s="593"/>
      <c r="C49" s="563"/>
      <c r="D49" s="564"/>
      <c r="E49" s="562"/>
      <c r="F49" s="563"/>
      <c r="G49" s="564"/>
      <c r="H49" s="285"/>
      <c r="I49" s="287"/>
      <c r="J49" s="287"/>
      <c r="K49" s="288" t="str">
        <f t="shared" si="23"/>
        <v/>
      </c>
      <c r="L49" s="289" t="str">
        <f t="shared" si="24"/>
        <v/>
      </c>
      <c r="M49" s="289" t="str">
        <f t="shared" si="25"/>
        <v/>
      </c>
      <c r="N49" s="718"/>
      <c r="O49" s="719"/>
      <c r="P49" s="719"/>
      <c r="Q49" s="724"/>
      <c r="R49" s="195"/>
      <c r="S49" s="195"/>
      <c r="T49" s="718"/>
      <c r="U49" s="719"/>
      <c r="V49" s="716"/>
      <c r="W49" s="717"/>
      <c r="X49" s="452"/>
      <c r="Y49" s="752" t="str">
        <f t="shared" si="12"/>
        <v>--</v>
      </c>
      <c r="Z49" s="753"/>
      <c r="AA49" s="753" t="str">
        <f t="shared" si="13"/>
        <v>--</v>
      </c>
      <c r="AB49" s="753"/>
      <c r="AC49" s="753" t="str">
        <f t="shared" si="14"/>
        <v>--</v>
      </c>
      <c r="AD49" s="753"/>
      <c r="AE49" s="753" t="str">
        <f t="shared" si="15"/>
        <v>--</v>
      </c>
      <c r="AF49" s="753"/>
      <c r="AG49" s="756" t="str">
        <f t="shared" si="16"/>
        <v>--</v>
      </c>
      <c r="AH49" s="756"/>
      <c r="AI49" s="758" t="str">
        <f t="shared" si="17"/>
        <v>--</v>
      </c>
      <c r="AJ49" s="759"/>
      <c r="AK49" s="758" t="str">
        <f t="shared" si="18"/>
        <v>--</v>
      </c>
      <c r="AL49" s="759"/>
      <c r="AM49" s="758" t="str">
        <f t="shared" si="19"/>
        <v>--</v>
      </c>
      <c r="AN49" s="759"/>
      <c r="AO49" s="758" t="str">
        <f t="shared" si="20"/>
        <v>--</v>
      </c>
      <c r="AP49" s="759"/>
      <c r="AQ49" s="762" t="str">
        <f t="shared" si="21"/>
        <v>--</v>
      </c>
      <c r="AR49" s="763"/>
      <c r="AS49" s="455" t="str">
        <f t="shared" si="22"/>
        <v>--</v>
      </c>
      <c r="AT49" s="456"/>
    </row>
    <row r="50" spans="1:46" x14ac:dyDescent="0.25">
      <c r="A50" s="192" t="s">
        <v>410</v>
      </c>
      <c r="B50" s="593"/>
      <c r="C50" s="563"/>
      <c r="D50" s="564"/>
      <c r="E50" s="562"/>
      <c r="F50" s="563"/>
      <c r="G50" s="564"/>
      <c r="H50" s="285"/>
      <c r="I50" s="287"/>
      <c r="J50" s="287"/>
      <c r="K50" s="288" t="str">
        <f t="shared" si="23"/>
        <v/>
      </c>
      <c r="L50" s="289" t="str">
        <f t="shared" si="24"/>
        <v/>
      </c>
      <c r="M50" s="289" t="str">
        <f t="shared" si="25"/>
        <v/>
      </c>
      <c r="N50" s="718"/>
      <c r="O50" s="719"/>
      <c r="P50" s="719"/>
      <c r="Q50" s="724"/>
      <c r="R50" s="194"/>
      <c r="S50" s="194"/>
      <c r="T50" s="718"/>
      <c r="U50" s="719"/>
      <c r="V50" s="716"/>
      <c r="W50" s="717"/>
      <c r="X50" s="452"/>
      <c r="Y50" s="752" t="str">
        <f t="shared" si="12"/>
        <v>--</v>
      </c>
      <c r="Z50" s="753"/>
      <c r="AA50" s="753" t="str">
        <f t="shared" si="13"/>
        <v>--</v>
      </c>
      <c r="AB50" s="753"/>
      <c r="AC50" s="753" t="str">
        <f t="shared" si="14"/>
        <v>--</v>
      </c>
      <c r="AD50" s="753"/>
      <c r="AE50" s="753" t="str">
        <f t="shared" si="15"/>
        <v>--</v>
      </c>
      <c r="AF50" s="753"/>
      <c r="AG50" s="756" t="str">
        <f t="shared" si="16"/>
        <v>--</v>
      </c>
      <c r="AH50" s="756"/>
      <c r="AI50" s="758" t="str">
        <f t="shared" si="17"/>
        <v>--</v>
      </c>
      <c r="AJ50" s="759"/>
      <c r="AK50" s="758" t="str">
        <f t="shared" si="18"/>
        <v>--</v>
      </c>
      <c r="AL50" s="759"/>
      <c r="AM50" s="758" t="str">
        <f t="shared" si="19"/>
        <v>--</v>
      </c>
      <c r="AN50" s="759"/>
      <c r="AO50" s="758" t="str">
        <f t="shared" si="20"/>
        <v>--</v>
      </c>
      <c r="AP50" s="759"/>
      <c r="AQ50" s="762" t="str">
        <f t="shared" si="21"/>
        <v>--</v>
      </c>
      <c r="AR50" s="763"/>
      <c r="AS50" s="455" t="str">
        <f t="shared" si="22"/>
        <v>--</v>
      </c>
      <c r="AT50" s="456"/>
    </row>
    <row r="51" spans="1:46" x14ac:dyDescent="0.25">
      <c r="A51" s="192" t="s">
        <v>410</v>
      </c>
      <c r="B51" s="593"/>
      <c r="C51" s="563"/>
      <c r="D51" s="564"/>
      <c r="E51" s="562"/>
      <c r="F51" s="563"/>
      <c r="G51" s="564"/>
      <c r="H51" s="285"/>
      <c r="I51" s="287"/>
      <c r="J51" s="287"/>
      <c r="K51" s="288" t="str">
        <f t="shared" si="23"/>
        <v/>
      </c>
      <c r="L51" s="289" t="str">
        <f t="shared" si="24"/>
        <v/>
      </c>
      <c r="M51" s="289" t="str">
        <f t="shared" si="25"/>
        <v/>
      </c>
      <c r="N51" s="718"/>
      <c r="O51" s="719"/>
      <c r="P51" s="719"/>
      <c r="Q51" s="724"/>
      <c r="R51" s="195"/>
      <c r="S51" s="195"/>
      <c r="T51" s="718"/>
      <c r="U51" s="719"/>
      <c r="V51" s="716"/>
      <c r="W51" s="717"/>
      <c r="X51" s="452"/>
      <c r="Y51" s="752" t="str">
        <f t="shared" si="12"/>
        <v>--</v>
      </c>
      <c r="Z51" s="753"/>
      <c r="AA51" s="753" t="str">
        <f t="shared" si="13"/>
        <v>--</v>
      </c>
      <c r="AB51" s="753"/>
      <c r="AC51" s="753" t="str">
        <f t="shared" si="14"/>
        <v>--</v>
      </c>
      <c r="AD51" s="753"/>
      <c r="AE51" s="753" t="str">
        <f t="shared" si="15"/>
        <v>--</v>
      </c>
      <c r="AF51" s="753"/>
      <c r="AG51" s="756" t="str">
        <f t="shared" si="16"/>
        <v>--</v>
      </c>
      <c r="AH51" s="756"/>
      <c r="AI51" s="758" t="str">
        <f t="shared" si="17"/>
        <v>--</v>
      </c>
      <c r="AJ51" s="759"/>
      <c r="AK51" s="758" t="str">
        <f t="shared" si="18"/>
        <v>--</v>
      </c>
      <c r="AL51" s="759"/>
      <c r="AM51" s="758" t="str">
        <f t="shared" si="19"/>
        <v>--</v>
      </c>
      <c r="AN51" s="759"/>
      <c r="AO51" s="758" t="str">
        <f t="shared" si="20"/>
        <v>--</v>
      </c>
      <c r="AP51" s="759"/>
      <c r="AQ51" s="762" t="str">
        <f t="shared" si="21"/>
        <v>--</v>
      </c>
      <c r="AR51" s="763"/>
      <c r="AS51" s="455" t="str">
        <f t="shared" si="22"/>
        <v>--</v>
      </c>
      <c r="AT51" s="456"/>
    </row>
    <row r="52" spans="1:46" x14ac:dyDescent="0.25">
      <c r="A52" s="192" t="s">
        <v>410</v>
      </c>
      <c r="B52" s="565"/>
      <c r="C52" s="566"/>
      <c r="D52" s="567"/>
      <c r="E52" s="568"/>
      <c r="F52" s="566"/>
      <c r="G52" s="567"/>
      <c r="H52" s="285"/>
      <c r="I52" s="287"/>
      <c r="J52" s="287"/>
      <c r="K52" s="288" t="str">
        <f t="shared" si="23"/>
        <v/>
      </c>
      <c r="L52" s="289" t="str">
        <f t="shared" si="24"/>
        <v/>
      </c>
      <c r="M52" s="289" t="str">
        <f t="shared" si="25"/>
        <v/>
      </c>
      <c r="N52" s="718"/>
      <c r="O52" s="719"/>
      <c r="P52" s="719"/>
      <c r="Q52" s="724"/>
      <c r="R52" s="196"/>
      <c r="S52" s="196"/>
      <c r="T52" s="718"/>
      <c r="U52" s="719"/>
      <c r="V52" s="716"/>
      <c r="W52" s="717"/>
      <c r="X52" s="452"/>
      <c r="Y52" s="752" t="str">
        <f t="shared" si="12"/>
        <v>--</v>
      </c>
      <c r="Z52" s="753"/>
      <c r="AA52" s="753" t="str">
        <f t="shared" si="13"/>
        <v>--</v>
      </c>
      <c r="AB52" s="753"/>
      <c r="AC52" s="753" t="str">
        <f t="shared" si="14"/>
        <v>--</v>
      </c>
      <c r="AD52" s="753"/>
      <c r="AE52" s="753" t="str">
        <f t="shared" si="15"/>
        <v>--</v>
      </c>
      <c r="AF52" s="753"/>
      <c r="AG52" s="756" t="str">
        <f t="shared" si="16"/>
        <v>--</v>
      </c>
      <c r="AH52" s="756"/>
      <c r="AI52" s="758" t="str">
        <f t="shared" si="17"/>
        <v>--</v>
      </c>
      <c r="AJ52" s="759"/>
      <c r="AK52" s="758" t="str">
        <f t="shared" si="18"/>
        <v>--</v>
      </c>
      <c r="AL52" s="759"/>
      <c r="AM52" s="758" t="str">
        <f t="shared" si="19"/>
        <v>--</v>
      </c>
      <c r="AN52" s="759"/>
      <c r="AO52" s="758" t="str">
        <f t="shared" si="20"/>
        <v>--</v>
      </c>
      <c r="AP52" s="759"/>
      <c r="AQ52" s="762" t="str">
        <f t="shared" si="21"/>
        <v>--</v>
      </c>
      <c r="AR52" s="763"/>
      <c r="AS52" s="455" t="str">
        <f t="shared" si="22"/>
        <v>--</v>
      </c>
      <c r="AT52" s="456"/>
    </row>
    <row r="53" spans="1:46" x14ac:dyDescent="0.25">
      <c r="A53" s="192" t="s">
        <v>410</v>
      </c>
      <c r="B53" s="565"/>
      <c r="C53" s="566"/>
      <c r="D53" s="567"/>
      <c r="E53" s="568"/>
      <c r="F53" s="566"/>
      <c r="G53" s="567"/>
      <c r="H53" s="285"/>
      <c r="I53" s="287"/>
      <c r="J53" s="287"/>
      <c r="K53" s="288" t="str">
        <f t="shared" si="23"/>
        <v/>
      </c>
      <c r="L53" s="289" t="str">
        <f t="shared" si="24"/>
        <v/>
      </c>
      <c r="M53" s="289" t="str">
        <f t="shared" si="25"/>
        <v/>
      </c>
      <c r="N53" s="718"/>
      <c r="O53" s="719"/>
      <c r="P53" s="719"/>
      <c r="Q53" s="724"/>
      <c r="R53" s="196"/>
      <c r="S53" s="196"/>
      <c r="T53" s="718"/>
      <c r="U53" s="719"/>
      <c r="V53" s="716"/>
      <c r="W53" s="717"/>
      <c r="X53" s="452"/>
      <c r="Y53" s="752" t="str">
        <f t="shared" si="12"/>
        <v>--</v>
      </c>
      <c r="Z53" s="753"/>
      <c r="AA53" s="753" t="str">
        <f t="shared" si="13"/>
        <v>--</v>
      </c>
      <c r="AB53" s="753"/>
      <c r="AC53" s="753" t="str">
        <f t="shared" si="14"/>
        <v>--</v>
      </c>
      <c r="AD53" s="753"/>
      <c r="AE53" s="753" t="str">
        <f t="shared" si="15"/>
        <v>--</v>
      </c>
      <c r="AF53" s="753"/>
      <c r="AG53" s="756" t="str">
        <f t="shared" si="16"/>
        <v>--</v>
      </c>
      <c r="AH53" s="756"/>
      <c r="AI53" s="758" t="str">
        <f t="shared" si="17"/>
        <v>--</v>
      </c>
      <c r="AJ53" s="759"/>
      <c r="AK53" s="758" t="str">
        <f t="shared" si="18"/>
        <v>--</v>
      </c>
      <c r="AL53" s="759"/>
      <c r="AM53" s="758" t="str">
        <f t="shared" si="19"/>
        <v>--</v>
      </c>
      <c r="AN53" s="759"/>
      <c r="AO53" s="758" t="str">
        <f t="shared" si="20"/>
        <v>--</v>
      </c>
      <c r="AP53" s="759"/>
      <c r="AQ53" s="762" t="str">
        <f t="shared" si="21"/>
        <v>--</v>
      </c>
      <c r="AR53" s="763"/>
      <c r="AS53" s="455" t="str">
        <f t="shared" si="22"/>
        <v>--</v>
      </c>
      <c r="AT53" s="456"/>
    </row>
    <row r="54" spans="1:46" x14ac:dyDescent="0.25">
      <c r="A54" s="192" t="s">
        <v>410</v>
      </c>
      <c r="B54" s="565"/>
      <c r="C54" s="566"/>
      <c r="D54" s="567"/>
      <c r="E54" s="568"/>
      <c r="F54" s="566"/>
      <c r="G54" s="567"/>
      <c r="H54" s="285"/>
      <c r="I54" s="287"/>
      <c r="J54" s="287"/>
      <c r="K54" s="288" t="str">
        <f t="shared" si="23"/>
        <v/>
      </c>
      <c r="L54" s="289" t="str">
        <f t="shared" si="24"/>
        <v/>
      </c>
      <c r="M54" s="289" t="str">
        <f t="shared" si="25"/>
        <v/>
      </c>
      <c r="N54" s="718"/>
      <c r="O54" s="719"/>
      <c r="P54" s="719"/>
      <c r="Q54" s="724"/>
      <c r="R54" s="196"/>
      <c r="S54" s="196"/>
      <c r="T54" s="718"/>
      <c r="U54" s="719"/>
      <c r="V54" s="716"/>
      <c r="W54" s="717"/>
      <c r="X54" s="452"/>
      <c r="Y54" s="752" t="str">
        <f t="shared" si="12"/>
        <v>--</v>
      </c>
      <c r="Z54" s="753"/>
      <c r="AA54" s="753" t="str">
        <f t="shared" si="13"/>
        <v>--</v>
      </c>
      <c r="AB54" s="753"/>
      <c r="AC54" s="753" t="str">
        <f t="shared" si="14"/>
        <v>--</v>
      </c>
      <c r="AD54" s="753"/>
      <c r="AE54" s="753" t="str">
        <f t="shared" si="15"/>
        <v>--</v>
      </c>
      <c r="AF54" s="753"/>
      <c r="AG54" s="756" t="str">
        <f t="shared" si="16"/>
        <v>--</v>
      </c>
      <c r="AH54" s="756"/>
      <c r="AI54" s="758" t="str">
        <f t="shared" si="17"/>
        <v>--</v>
      </c>
      <c r="AJ54" s="759"/>
      <c r="AK54" s="758" t="str">
        <f t="shared" si="18"/>
        <v>--</v>
      </c>
      <c r="AL54" s="759"/>
      <c r="AM54" s="758" t="str">
        <f t="shared" si="19"/>
        <v>--</v>
      </c>
      <c r="AN54" s="759"/>
      <c r="AO54" s="758" t="str">
        <f t="shared" si="20"/>
        <v>--</v>
      </c>
      <c r="AP54" s="759"/>
      <c r="AQ54" s="762" t="str">
        <f t="shared" si="21"/>
        <v>--</v>
      </c>
      <c r="AR54" s="763"/>
      <c r="AS54" s="455" t="str">
        <f t="shared" si="22"/>
        <v>--</v>
      </c>
      <c r="AT54" s="456"/>
    </row>
    <row r="55" spans="1:46" x14ac:dyDescent="0.25">
      <c r="A55" s="192" t="s">
        <v>410</v>
      </c>
      <c r="B55" s="565"/>
      <c r="C55" s="566"/>
      <c r="D55" s="567"/>
      <c r="E55" s="568"/>
      <c r="F55" s="566"/>
      <c r="G55" s="567"/>
      <c r="H55" s="285"/>
      <c r="I55" s="287"/>
      <c r="J55" s="287"/>
      <c r="K55" s="288" t="str">
        <f t="shared" si="23"/>
        <v/>
      </c>
      <c r="L55" s="289" t="str">
        <f t="shared" si="24"/>
        <v/>
      </c>
      <c r="M55" s="289" t="str">
        <f t="shared" si="25"/>
        <v/>
      </c>
      <c r="N55" s="718"/>
      <c r="O55" s="719"/>
      <c r="P55" s="719"/>
      <c r="Q55" s="724"/>
      <c r="R55" s="196"/>
      <c r="S55" s="196"/>
      <c r="T55" s="718"/>
      <c r="U55" s="719"/>
      <c r="V55" s="716"/>
      <c r="W55" s="717"/>
      <c r="X55" s="452"/>
      <c r="Y55" s="752" t="str">
        <f t="shared" si="12"/>
        <v>--</v>
      </c>
      <c r="Z55" s="753"/>
      <c r="AA55" s="753" t="str">
        <f t="shared" si="13"/>
        <v>--</v>
      </c>
      <c r="AB55" s="753"/>
      <c r="AC55" s="753" t="str">
        <f t="shared" si="14"/>
        <v>--</v>
      </c>
      <c r="AD55" s="753"/>
      <c r="AE55" s="753" t="str">
        <f t="shared" si="15"/>
        <v>--</v>
      </c>
      <c r="AF55" s="753"/>
      <c r="AG55" s="756" t="str">
        <f t="shared" si="16"/>
        <v>--</v>
      </c>
      <c r="AH55" s="756"/>
      <c r="AI55" s="758" t="str">
        <f t="shared" si="17"/>
        <v>--</v>
      </c>
      <c r="AJ55" s="759"/>
      <c r="AK55" s="758" t="str">
        <f t="shared" si="18"/>
        <v>--</v>
      </c>
      <c r="AL55" s="759"/>
      <c r="AM55" s="758" t="str">
        <f t="shared" si="19"/>
        <v>--</v>
      </c>
      <c r="AN55" s="759"/>
      <c r="AO55" s="758" t="str">
        <f t="shared" si="20"/>
        <v>--</v>
      </c>
      <c r="AP55" s="759"/>
      <c r="AQ55" s="762" t="str">
        <f t="shared" si="21"/>
        <v>--</v>
      </c>
      <c r="AR55" s="763"/>
      <c r="AS55" s="455" t="str">
        <f t="shared" si="22"/>
        <v>--</v>
      </c>
      <c r="AT55" s="456"/>
    </row>
    <row r="56" spans="1:46" ht="15.75" thickBot="1" x14ac:dyDescent="0.3">
      <c r="A56" s="193" t="s">
        <v>410</v>
      </c>
      <c r="B56" s="565"/>
      <c r="C56" s="566"/>
      <c r="D56" s="567"/>
      <c r="E56" s="568"/>
      <c r="F56" s="566"/>
      <c r="G56" s="567"/>
      <c r="H56" s="285"/>
      <c r="I56" s="287"/>
      <c r="J56" s="287"/>
      <c r="K56" s="288" t="str">
        <f t="shared" si="23"/>
        <v/>
      </c>
      <c r="L56" s="289" t="str">
        <f t="shared" si="24"/>
        <v/>
      </c>
      <c r="M56" s="289" t="str">
        <f t="shared" si="25"/>
        <v/>
      </c>
      <c r="N56" s="718"/>
      <c r="O56" s="719"/>
      <c r="P56" s="719"/>
      <c r="Q56" s="724"/>
      <c r="R56" s="196"/>
      <c r="S56" s="196"/>
      <c r="T56" s="742"/>
      <c r="U56" s="743"/>
      <c r="V56" s="745"/>
      <c r="W56" s="746"/>
      <c r="X56" s="452"/>
      <c r="Y56" s="754" t="str">
        <f t="shared" si="12"/>
        <v>--</v>
      </c>
      <c r="Z56" s="755"/>
      <c r="AA56" s="755" t="str">
        <f t="shared" si="13"/>
        <v>--</v>
      </c>
      <c r="AB56" s="755"/>
      <c r="AC56" s="755" t="str">
        <f t="shared" si="14"/>
        <v>--</v>
      </c>
      <c r="AD56" s="755"/>
      <c r="AE56" s="755" t="str">
        <f t="shared" si="15"/>
        <v>--</v>
      </c>
      <c r="AF56" s="755"/>
      <c r="AG56" s="757" t="str">
        <f t="shared" si="16"/>
        <v>--</v>
      </c>
      <c r="AH56" s="757"/>
      <c r="AI56" s="760" t="str">
        <f t="shared" si="17"/>
        <v>--</v>
      </c>
      <c r="AJ56" s="761"/>
      <c r="AK56" s="760" t="str">
        <f t="shared" si="18"/>
        <v>--</v>
      </c>
      <c r="AL56" s="761"/>
      <c r="AM56" s="760" t="str">
        <f t="shared" si="19"/>
        <v>--</v>
      </c>
      <c r="AN56" s="761"/>
      <c r="AO56" s="760" t="str">
        <f t="shared" si="20"/>
        <v>--</v>
      </c>
      <c r="AP56" s="761"/>
      <c r="AQ56" s="764" t="str">
        <f t="shared" si="21"/>
        <v>--</v>
      </c>
      <c r="AR56" s="765"/>
      <c r="AS56" s="474" t="str">
        <f t="shared" si="22"/>
        <v>--</v>
      </c>
      <c r="AT56" s="456"/>
    </row>
    <row r="57" spans="1:46" ht="15.75" thickBot="1" x14ac:dyDescent="0.3">
      <c r="B57" s="558">
        <f>SUMIF(A31:A56,"&lt;&gt;"&amp;"No",H31:H56)</f>
        <v>0</v>
      </c>
      <c r="C57" s="559"/>
      <c r="D57" s="559"/>
      <c r="E57" s="559"/>
      <c r="F57" s="559"/>
      <c r="G57" s="559"/>
      <c r="H57" s="560"/>
      <c r="I57" s="561">
        <f>SUMIF(A31:A56,"&lt;&gt;"&amp;"No",K31:K56)</f>
        <v>0</v>
      </c>
      <c r="J57" s="559"/>
      <c r="K57" s="560"/>
      <c r="L57" s="421">
        <f>SUMIF(A31:A56,"&lt;&gt;"&amp;"No",L31:L56)</f>
        <v>0</v>
      </c>
      <c r="M57" s="435">
        <f>SUMIF(A31:A56,"&lt;&gt;"&amp;"No",M31:M56)</f>
        <v>0</v>
      </c>
      <c r="N57" s="729"/>
      <c r="O57" s="730"/>
      <c r="P57" s="730"/>
      <c r="Q57" s="731"/>
      <c r="R57" s="433">
        <f>SUM(R31:R56)</f>
        <v>0</v>
      </c>
      <c r="S57" s="434">
        <f>SUM(S31:S56)</f>
        <v>0</v>
      </c>
      <c r="T57" s="744">
        <f>SUM(T31:U56)</f>
        <v>0</v>
      </c>
      <c r="U57" s="744"/>
      <c r="V57" s="740">
        <f>SUM(V31:W56)</f>
        <v>0</v>
      </c>
      <c r="W57" s="741"/>
    </row>
    <row r="58" spans="1:46" ht="15.75" x14ac:dyDescent="0.25">
      <c r="B58" s="598" t="s">
        <v>669</v>
      </c>
      <c r="C58" s="599"/>
      <c r="D58" s="599"/>
      <c r="E58" s="599"/>
      <c r="F58" s="599"/>
      <c r="G58" s="599"/>
      <c r="H58" s="599"/>
      <c r="I58" s="599"/>
      <c r="J58" s="600"/>
      <c r="K58" s="589" t="s">
        <v>383</v>
      </c>
      <c r="L58" s="581" t="s">
        <v>282</v>
      </c>
      <c r="M58" s="581"/>
      <c r="N58" s="581"/>
      <c r="O58" s="581" t="s">
        <v>283</v>
      </c>
      <c r="P58" s="581"/>
      <c r="Q58" s="582"/>
      <c r="R58" s="695" t="s">
        <v>740</v>
      </c>
      <c r="S58" s="732"/>
      <c r="T58" s="732"/>
      <c r="U58" s="733"/>
    </row>
    <row r="59" spans="1:46" ht="16.5" thickBot="1" x14ac:dyDescent="0.3">
      <c r="B59" s="585" t="s">
        <v>292</v>
      </c>
      <c r="C59" s="586"/>
      <c r="D59" s="418">
        <v>0</v>
      </c>
      <c r="E59" s="587" t="s">
        <v>284</v>
      </c>
      <c r="F59" s="587"/>
      <c r="G59" s="195">
        <v>0</v>
      </c>
      <c r="H59" s="588" t="s">
        <v>285</v>
      </c>
      <c r="I59" s="587"/>
      <c r="J59" s="419">
        <v>0</v>
      </c>
      <c r="K59" s="590"/>
      <c r="L59" s="583"/>
      <c r="M59" s="583"/>
      <c r="N59" s="583"/>
      <c r="O59" s="583"/>
      <c r="P59" s="583"/>
      <c r="Q59" s="584"/>
      <c r="R59" s="734">
        <f>SUM(R57)+(S57*0.1)+(T57*0.01)+(V57*0.001)</f>
        <v>0</v>
      </c>
      <c r="S59" s="735"/>
      <c r="T59" s="735"/>
      <c r="U59" s="736"/>
    </row>
    <row r="60" spans="1:46" ht="16.5" thickBot="1" x14ac:dyDescent="0.3">
      <c r="B60" s="585" t="s">
        <v>286</v>
      </c>
      <c r="C60" s="586"/>
      <c r="D60" s="197">
        <v>0</v>
      </c>
      <c r="E60" s="587" t="s">
        <v>287</v>
      </c>
      <c r="F60" s="587"/>
      <c r="G60" s="195">
        <v>0</v>
      </c>
      <c r="H60" s="588" t="s">
        <v>288</v>
      </c>
      <c r="I60" s="587"/>
      <c r="J60" s="419">
        <v>0</v>
      </c>
      <c r="K60" s="607">
        <f>SUM(D60+D61+G59+G60+G61+J59+J60)</f>
        <v>0</v>
      </c>
      <c r="L60" s="601">
        <v>10000</v>
      </c>
      <c r="M60" s="602"/>
      <c r="N60" s="603"/>
      <c r="O60" s="614">
        <f>10000-MOD(L60,10000)</f>
        <v>10000</v>
      </c>
      <c r="P60" s="615"/>
      <c r="Q60" s="616"/>
      <c r="R60" s="737" t="s">
        <v>741</v>
      </c>
      <c r="S60" s="738"/>
      <c r="T60" s="738"/>
      <c r="U60" s="739"/>
    </row>
    <row r="61" spans="1:46" ht="15.75" thickBot="1" x14ac:dyDescent="0.3">
      <c r="B61" s="620" t="s">
        <v>289</v>
      </c>
      <c r="C61" s="621"/>
      <c r="D61" s="196">
        <v>0</v>
      </c>
      <c r="E61" s="622" t="s">
        <v>290</v>
      </c>
      <c r="F61" s="621"/>
      <c r="G61" s="196">
        <v>0</v>
      </c>
      <c r="H61" s="622" t="s">
        <v>291</v>
      </c>
      <c r="I61" s="621"/>
      <c r="J61" s="420">
        <v>0</v>
      </c>
      <c r="K61" s="608"/>
      <c r="L61" s="604"/>
      <c r="M61" s="605"/>
      <c r="N61" s="606"/>
      <c r="O61" s="617"/>
      <c r="P61" s="618"/>
      <c r="Q61" s="619"/>
      <c r="R61" s="550">
        <f>SUM(D60*100)+(D61*10)+G59+(G60*0.1)+(G61*0.01)+(J59*0.001)+(J60*0.0001)+D59+J61</f>
        <v>0</v>
      </c>
      <c r="S61" s="551"/>
      <c r="T61" s="551"/>
      <c r="U61" s="552"/>
    </row>
    <row r="62" spans="1:46" ht="15.75" x14ac:dyDescent="0.25">
      <c r="B62" s="290">
        <v>1</v>
      </c>
      <c r="C62" s="594" t="s">
        <v>659</v>
      </c>
      <c r="D62" s="595"/>
      <c r="E62" s="595"/>
      <c r="F62" s="595"/>
      <c r="G62" s="595"/>
      <c r="H62" s="595"/>
      <c r="I62" s="609" t="s">
        <v>661</v>
      </c>
      <c r="J62" s="609"/>
      <c r="K62" s="463" t="str">
        <f ca="1">IF(OR(P7="--"),"--",P7/2)</f>
        <v>--</v>
      </c>
      <c r="L62" s="697" t="s">
        <v>746</v>
      </c>
      <c r="M62" s="698"/>
      <c r="N62" s="698"/>
      <c r="O62" s="698"/>
      <c r="P62" s="698"/>
      <c r="Q62" s="699"/>
    </row>
    <row r="63" spans="1:46" ht="16.5" thickBot="1" x14ac:dyDescent="0.3">
      <c r="B63" s="311">
        <f>IF(OR(M4&lt;=2),2,(M4/2))</f>
        <v>2</v>
      </c>
      <c r="C63" s="596" t="s">
        <v>660</v>
      </c>
      <c r="D63" s="597"/>
      <c r="E63" s="597"/>
      <c r="F63" s="597"/>
      <c r="G63" s="597"/>
      <c r="H63" s="597"/>
      <c r="I63" s="610"/>
      <c r="J63" s="610"/>
      <c r="K63" s="611" t="s">
        <v>745</v>
      </c>
      <c r="L63" s="612"/>
      <c r="M63" s="612"/>
      <c r="N63" s="612"/>
      <c r="O63" s="612"/>
      <c r="P63" s="612"/>
      <c r="Q63" s="613"/>
    </row>
    <row r="64" spans="1:46" ht="15.75" thickBot="1" x14ac:dyDescent="0.3">
      <c r="B64" s="542" t="s">
        <v>354</v>
      </c>
      <c r="C64" s="543"/>
      <c r="D64" s="543"/>
      <c r="E64" s="544" t="s">
        <v>368</v>
      </c>
      <c r="F64" s="544"/>
      <c r="G64" s="544"/>
      <c r="H64" s="544" t="s">
        <v>647</v>
      </c>
      <c r="I64" s="545"/>
      <c r="J64" s="546" t="s">
        <v>648</v>
      </c>
      <c r="K64" s="547"/>
      <c r="L64" s="547"/>
      <c r="M64" s="747" t="s">
        <v>664</v>
      </c>
      <c r="N64" s="747"/>
      <c r="O64" s="747"/>
      <c r="P64" s="748"/>
      <c r="Q64" s="422"/>
    </row>
    <row r="65" spans="2:74" ht="15.75" thickBot="1" x14ac:dyDescent="0.3">
      <c r="B65" s="252" t="s">
        <v>355</v>
      </c>
      <c r="C65" s="548" t="s">
        <v>357</v>
      </c>
      <c r="D65" s="549"/>
      <c r="E65" s="540" t="s">
        <v>650</v>
      </c>
      <c r="F65" s="541"/>
      <c r="G65" s="298">
        <f>IF(OR(Character!C65="None",C65=""),0,IF(Character!C65="Light",0,IF(Character!C65="Very Light",0,IF(Character!C65="Medium",-5,IF(Character!C65="Heavy",-10)))))</f>
        <v>0</v>
      </c>
      <c r="H65" s="253" t="s">
        <v>649</v>
      </c>
      <c r="I65" s="314">
        <f>IF(OR(Character!C65="None",C65=""),0%,IF(Character!C65="Light",1%,IF(Character!C65="Very Light",0.5%,IF(Character!C65="Medium",2%,IF(Character!C65="Heavy",3%)))))</f>
        <v>0</v>
      </c>
      <c r="J65" s="254" t="s">
        <v>367</v>
      </c>
      <c r="K65" s="255"/>
      <c r="L65" s="260">
        <f>IF(OR(Character!C65="None",C65=""),0,IF(Character!C65="Light",-5,IF(Character!C65="Very Light",0,IF(Character!C65="Medium",-10,IF(Character!C65="Heavy",-15)))))</f>
        <v>0</v>
      </c>
      <c r="M65" s="749">
        <f>SUMIF(A31:A56,"Yes-Armor",H31:H56)-L65</f>
        <v>0</v>
      </c>
      <c r="N65" s="750"/>
      <c r="O65" s="750"/>
      <c r="P65" s="751"/>
      <c r="Q65" s="424"/>
      <c r="T65" s="3"/>
      <c r="U65" s="3"/>
      <c r="V65" s="3"/>
      <c r="W65" s="3"/>
      <c r="AN65" s="47"/>
      <c r="AR65" s="3"/>
      <c r="BS65" s="47"/>
      <c r="BT65" s="47"/>
      <c r="BU65" s="47"/>
      <c r="BV65" s="47"/>
    </row>
    <row r="66" spans="2:74" ht="15.75" thickBot="1" x14ac:dyDescent="0.3">
      <c r="B66" s="252" t="s">
        <v>356</v>
      </c>
      <c r="C66" s="548" t="s">
        <v>357</v>
      </c>
      <c r="D66" s="549"/>
      <c r="E66" s="540" t="s">
        <v>650</v>
      </c>
      <c r="F66" s="541"/>
      <c r="G66" s="298">
        <f>IF(C66="",0,VLOOKUP(C66,Tables!AA3:AA12:'Tables'!AI3:AI12,6,FALSE))</f>
        <v>0</v>
      </c>
      <c r="H66" s="253" t="s">
        <v>649</v>
      </c>
      <c r="I66" s="315">
        <f>IF(C66="",0%,VLOOKUP(C66,Tables!AA3:AA12:'Tables'!AO3:AO12,12,FALSE))</f>
        <v>0</v>
      </c>
      <c r="J66" s="431"/>
      <c r="K66" s="432"/>
      <c r="L66" s="432"/>
      <c r="M66" s="4"/>
      <c r="N66" s="436"/>
      <c r="O66" s="437"/>
      <c r="P66" s="437"/>
      <c r="Q66" s="466">
        <f>SUMPRODUCT((A31:A56="Yes")*(A31:A56="Yes-Armor")*(A31:A56="Yes-Weapon"),L31:L56)</f>
        <v>0</v>
      </c>
    </row>
    <row r="67" spans="2:74" ht="15.75" thickBot="1" x14ac:dyDescent="0.3">
      <c r="B67" s="252" t="s">
        <v>371</v>
      </c>
      <c r="C67" s="548" t="s">
        <v>357</v>
      </c>
      <c r="D67" s="549"/>
      <c r="E67" s="540" t="s">
        <v>650</v>
      </c>
      <c r="F67" s="541"/>
      <c r="G67" s="299">
        <f>IF(C67="",0,VLOOKUP(C67,Tables!AA3:AA12:'Tables'!AI3:AI12,7,FALSE))</f>
        <v>0</v>
      </c>
      <c r="H67" s="253" t="s">
        <v>649</v>
      </c>
      <c r="I67" s="316">
        <f>IF(C67="",0%,VLOOKUP(C67,Tables!AA3:AA12:'Tables'!AO3:AO12,13,FALSE))</f>
        <v>0</v>
      </c>
      <c r="J67" s="256" t="s">
        <v>369</v>
      </c>
      <c r="K67" s="426"/>
      <c r="L67" s="427">
        <f>IF(C67="",0,VLOOKUP(C67,Tables!AA3:AA12:'Tables'!AJ3:AJ12,10,FALSE))</f>
        <v>0</v>
      </c>
      <c r="M67" s="4"/>
      <c r="N67" s="423"/>
      <c r="O67" s="423"/>
      <c r="P67" s="423"/>
      <c r="Q67" s="465"/>
    </row>
    <row r="68" spans="2:74" ht="15.75" thickBot="1" x14ac:dyDescent="0.3">
      <c r="B68" s="257" t="s">
        <v>372</v>
      </c>
      <c r="C68" s="538" t="s">
        <v>357</v>
      </c>
      <c r="D68" s="539"/>
      <c r="E68" s="540" t="s">
        <v>650</v>
      </c>
      <c r="F68" s="541"/>
      <c r="G68" s="300">
        <f>IF(C68="",0,VLOOKUP(C68,Tables!AA3:AA12:'Tables'!AI3:AI12,8,FALSE))</f>
        <v>0</v>
      </c>
      <c r="H68" s="253" t="s">
        <v>649</v>
      </c>
      <c r="I68" s="317">
        <f>IF(C68="",0%,VLOOKUP(C68,Tables!AA3:AA12:'Tables'!AO3:AO12,14,FALSE))</f>
        <v>0</v>
      </c>
      <c r="J68" s="428"/>
      <c r="K68" s="429"/>
      <c r="L68" s="429"/>
      <c r="M68" s="430"/>
      <c r="N68" s="436"/>
      <c r="O68" s="436"/>
      <c r="P68" s="436"/>
      <c r="Q68" s="436"/>
    </row>
    <row r="69" spans="2:74" ht="15.75" thickBot="1" x14ac:dyDescent="0.3">
      <c r="B69" s="258"/>
      <c r="C69" s="259"/>
      <c r="D69" s="259"/>
      <c r="E69" s="535" t="s">
        <v>651</v>
      </c>
      <c r="F69" s="536"/>
      <c r="G69" s="260">
        <f>SUM(G65:G68)</f>
        <v>0</v>
      </c>
      <c r="H69" s="261" t="s">
        <v>652</v>
      </c>
      <c r="I69" s="318">
        <f>SUM(I65:I68)</f>
        <v>0</v>
      </c>
      <c r="J69" s="537" t="s">
        <v>667</v>
      </c>
      <c r="K69" s="537"/>
      <c r="L69" s="537"/>
      <c r="M69" s="425">
        <f>D15*I69</f>
        <v>0</v>
      </c>
      <c r="N69" s="453"/>
      <c r="O69" s="470"/>
      <c r="P69" s="453"/>
      <c r="Q69" s="453"/>
    </row>
    <row r="70" spans="2:74" x14ac:dyDescent="0.25">
      <c r="Q70" s="468"/>
    </row>
    <row r="71" spans="2:74" x14ac:dyDescent="0.25">
      <c r="H71" s="464"/>
      <c r="N71" s="464"/>
    </row>
    <row r="72" spans="2:74" x14ac:dyDescent="0.25">
      <c r="H72" s="464"/>
    </row>
    <row r="73" spans="2:74" x14ac:dyDescent="0.25">
      <c r="J73" s="469"/>
    </row>
    <row r="74" spans="2:74" x14ac:dyDescent="0.25">
      <c r="P74" s="464"/>
    </row>
    <row r="75" spans="2:74" x14ac:dyDescent="0.25">
      <c r="J75" s="467"/>
    </row>
  </sheetData>
  <dataConsolidate/>
  <mergeCells count="565">
    <mergeCell ref="AM29:AN29"/>
    <mergeCell ref="AO29:AP29"/>
    <mergeCell ref="AO55:AP55"/>
    <mergeCell ref="AM47:AN47"/>
    <mergeCell ref="AM48:AN48"/>
    <mergeCell ref="AM49:AN49"/>
    <mergeCell ref="AM50:AN50"/>
    <mergeCell ref="AM51:AN51"/>
    <mergeCell ref="AM52:AN52"/>
    <mergeCell ref="AM53:AN53"/>
    <mergeCell ref="AM54:AN54"/>
    <mergeCell ref="AM55:AN55"/>
    <mergeCell ref="AO49:AP49"/>
    <mergeCell ref="AO50:AP50"/>
    <mergeCell ref="AO51:AP51"/>
    <mergeCell ref="AO52:AP52"/>
    <mergeCell ref="AO53:AP53"/>
    <mergeCell ref="AO45:AP45"/>
    <mergeCell ref="AO46:AP46"/>
    <mergeCell ref="AO47:AP47"/>
    <mergeCell ref="AO48:AP48"/>
    <mergeCell ref="AO31:AP31"/>
    <mergeCell ref="AO32:AP32"/>
    <mergeCell ref="AO33:AP33"/>
    <mergeCell ref="AQ49:AR49"/>
    <mergeCell ref="AQ50:AR50"/>
    <mergeCell ref="AQ56:AR56"/>
    <mergeCell ref="AQ51:AR51"/>
    <mergeCell ref="AO54:AP54"/>
    <mergeCell ref="AA19:AB19"/>
    <mergeCell ref="Y30:Z30"/>
    <mergeCell ref="AA30:AB30"/>
    <mergeCell ref="AC30:AD30"/>
    <mergeCell ref="AE30:AF30"/>
    <mergeCell ref="AG30:AH30"/>
    <mergeCell ref="AI30:AJ30"/>
    <mergeCell ref="AK30:AL30"/>
    <mergeCell ref="AM30:AN30"/>
    <mergeCell ref="AO30:AP30"/>
    <mergeCell ref="AQ30:AR30"/>
    <mergeCell ref="AG28:AP28"/>
    <mergeCell ref="AG29:AH29"/>
    <mergeCell ref="AI29:AJ29"/>
    <mergeCell ref="AQ52:AR52"/>
    <mergeCell ref="AQ53:AR53"/>
    <mergeCell ref="AQ54:AR54"/>
    <mergeCell ref="AQ55:AR55"/>
    <mergeCell ref="AK29:AL29"/>
    <mergeCell ref="AO56:AP56"/>
    <mergeCell ref="AQ31:AR31"/>
    <mergeCell ref="AQ32:AR32"/>
    <mergeCell ref="AQ33:AR33"/>
    <mergeCell ref="AQ34:AR34"/>
    <mergeCell ref="AQ35:AR35"/>
    <mergeCell ref="AQ36:AR36"/>
    <mergeCell ref="AQ37:AR37"/>
    <mergeCell ref="AQ38:AR38"/>
    <mergeCell ref="AQ39:AR39"/>
    <mergeCell ref="AQ40:AR40"/>
    <mergeCell ref="AQ41:AR41"/>
    <mergeCell ref="AQ42:AR42"/>
    <mergeCell ref="AQ43:AR43"/>
    <mergeCell ref="AQ44:AR44"/>
    <mergeCell ref="AQ45:AR45"/>
    <mergeCell ref="AQ46:AR46"/>
    <mergeCell ref="AQ47:AR47"/>
    <mergeCell ref="AQ48:AR48"/>
    <mergeCell ref="AO40:AP40"/>
    <mergeCell ref="AO41:AP41"/>
    <mergeCell ref="AO42:AP42"/>
    <mergeCell ref="AO43:AP43"/>
    <mergeCell ref="AO44:AP44"/>
    <mergeCell ref="AO34:AP34"/>
    <mergeCell ref="AO35:AP35"/>
    <mergeCell ref="AO36:AP36"/>
    <mergeCell ref="AO37:AP37"/>
    <mergeCell ref="AO38:AP38"/>
    <mergeCell ref="AO39:AP39"/>
    <mergeCell ref="AK52:AL52"/>
    <mergeCell ref="AK53:AL53"/>
    <mergeCell ref="AK54:AL54"/>
    <mergeCell ref="AK55:AL55"/>
    <mergeCell ref="AK56:AL56"/>
    <mergeCell ref="AM31:AN31"/>
    <mergeCell ref="AM32:AN32"/>
    <mergeCell ref="AM33:AN33"/>
    <mergeCell ref="AM34:AN34"/>
    <mergeCell ref="AM35:AN35"/>
    <mergeCell ref="AM36:AN36"/>
    <mergeCell ref="AM37:AN37"/>
    <mergeCell ref="AM38:AN38"/>
    <mergeCell ref="AM39:AN39"/>
    <mergeCell ref="AM40:AN40"/>
    <mergeCell ref="AM41:AN41"/>
    <mergeCell ref="AM42:AN42"/>
    <mergeCell ref="AM43:AN43"/>
    <mergeCell ref="AM44:AN44"/>
    <mergeCell ref="AM45:AN45"/>
    <mergeCell ref="AM46:AN46"/>
    <mergeCell ref="AM56:AN56"/>
    <mergeCell ref="AK49:AL49"/>
    <mergeCell ref="AK50:AL50"/>
    <mergeCell ref="AI53:AJ53"/>
    <mergeCell ref="AI54:AJ54"/>
    <mergeCell ref="AI55:AJ55"/>
    <mergeCell ref="AI56:AJ56"/>
    <mergeCell ref="AI31:AJ31"/>
    <mergeCell ref="AK31:AL31"/>
    <mergeCell ref="AK32:AL32"/>
    <mergeCell ref="AK33:AL33"/>
    <mergeCell ref="AK34:AL34"/>
    <mergeCell ref="AK35:AL35"/>
    <mergeCell ref="AK36:AL36"/>
    <mergeCell ref="AK37:AL37"/>
    <mergeCell ref="AK38:AL38"/>
    <mergeCell ref="AK39:AL39"/>
    <mergeCell ref="AK40:AL40"/>
    <mergeCell ref="AK41:AL41"/>
    <mergeCell ref="AK42:AL42"/>
    <mergeCell ref="AK43:AL43"/>
    <mergeCell ref="AK44:AL44"/>
    <mergeCell ref="AK45:AL45"/>
    <mergeCell ref="AK46:AL46"/>
    <mergeCell ref="AK47:AL47"/>
    <mergeCell ref="AK48:AL48"/>
    <mergeCell ref="AK51:AL51"/>
    <mergeCell ref="AG54:AH54"/>
    <mergeCell ref="AG55:AH55"/>
    <mergeCell ref="AG56:AH56"/>
    <mergeCell ref="AI32:AJ32"/>
    <mergeCell ref="AI33:AJ33"/>
    <mergeCell ref="AI34:AJ34"/>
    <mergeCell ref="AI35:AJ35"/>
    <mergeCell ref="AI36:AJ36"/>
    <mergeCell ref="AI37:AJ37"/>
    <mergeCell ref="AI38:AJ38"/>
    <mergeCell ref="AI39:AJ39"/>
    <mergeCell ref="AI40:AJ40"/>
    <mergeCell ref="AI41:AJ41"/>
    <mergeCell ref="AI42:AJ42"/>
    <mergeCell ref="AI43:AJ43"/>
    <mergeCell ref="AI44:AJ44"/>
    <mergeCell ref="AI45:AJ45"/>
    <mergeCell ref="AI46:AJ46"/>
    <mergeCell ref="AI47:AJ47"/>
    <mergeCell ref="AI48:AJ48"/>
    <mergeCell ref="AI49:AJ49"/>
    <mergeCell ref="AI50:AJ50"/>
    <mergeCell ref="AI51:AJ51"/>
    <mergeCell ref="AI52:AJ52"/>
    <mergeCell ref="AE56:AF56"/>
    <mergeCell ref="AG31:AH31"/>
    <mergeCell ref="AG32:AH32"/>
    <mergeCell ref="AG33:AH33"/>
    <mergeCell ref="AG34:AH34"/>
    <mergeCell ref="AG35:AH35"/>
    <mergeCell ref="AG36:AH36"/>
    <mergeCell ref="AG37:AH37"/>
    <mergeCell ref="AG38:AH38"/>
    <mergeCell ref="AG39:AH39"/>
    <mergeCell ref="AG40:AH40"/>
    <mergeCell ref="AG41:AH41"/>
    <mergeCell ref="AG42:AH42"/>
    <mergeCell ref="AG43:AH43"/>
    <mergeCell ref="AG44:AH44"/>
    <mergeCell ref="AG45:AH45"/>
    <mergeCell ref="AG46:AH46"/>
    <mergeCell ref="AG47:AH47"/>
    <mergeCell ref="AG48:AH48"/>
    <mergeCell ref="AG49:AH49"/>
    <mergeCell ref="AG50:AH50"/>
    <mergeCell ref="AG51:AH51"/>
    <mergeCell ref="AG52:AH52"/>
    <mergeCell ref="AG53:AH53"/>
    <mergeCell ref="AE47:AF47"/>
    <mergeCell ref="AE48:AF48"/>
    <mergeCell ref="AE49:AF49"/>
    <mergeCell ref="AE50:AF50"/>
    <mergeCell ref="AE51:AF51"/>
    <mergeCell ref="AE52:AF52"/>
    <mergeCell ref="AE53:AF53"/>
    <mergeCell ref="AE54:AF54"/>
    <mergeCell ref="AE55:AF55"/>
    <mergeCell ref="AC49:AD49"/>
    <mergeCell ref="AC50:AD50"/>
    <mergeCell ref="AC51:AD51"/>
    <mergeCell ref="AC52:AD52"/>
    <mergeCell ref="AC53:AD53"/>
    <mergeCell ref="AC54:AD54"/>
    <mergeCell ref="AC55:AD55"/>
    <mergeCell ref="AC56:AD56"/>
    <mergeCell ref="AE31:AF31"/>
    <mergeCell ref="AE32:AF32"/>
    <mergeCell ref="AE33:AF33"/>
    <mergeCell ref="AE34:AF34"/>
    <mergeCell ref="AE35:AF35"/>
    <mergeCell ref="AE36:AF36"/>
    <mergeCell ref="AE37:AF37"/>
    <mergeCell ref="AE38:AF38"/>
    <mergeCell ref="AE39:AF39"/>
    <mergeCell ref="AE40:AF40"/>
    <mergeCell ref="AE41:AF41"/>
    <mergeCell ref="AE42:AF42"/>
    <mergeCell ref="AE43:AF43"/>
    <mergeCell ref="AE44:AF44"/>
    <mergeCell ref="AE45:AF45"/>
    <mergeCell ref="AE46:AF46"/>
    <mergeCell ref="AA51:AB51"/>
    <mergeCell ref="AA52:AB52"/>
    <mergeCell ref="AA53:AB53"/>
    <mergeCell ref="AA54:AB54"/>
    <mergeCell ref="AA55:AB55"/>
    <mergeCell ref="AA56:AB56"/>
    <mergeCell ref="AC31:AD31"/>
    <mergeCell ref="AC32:AD32"/>
    <mergeCell ref="AC33:AD33"/>
    <mergeCell ref="AC34:AD34"/>
    <mergeCell ref="AC35:AD35"/>
    <mergeCell ref="AC36:AD36"/>
    <mergeCell ref="AC37:AD37"/>
    <mergeCell ref="AC38:AD38"/>
    <mergeCell ref="AC39:AD39"/>
    <mergeCell ref="AC40:AD40"/>
    <mergeCell ref="AC41:AD41"/>
    <mergeCell ref="AC42:AD42"/>
    <mergeCell ref="AC43:AD43"/>
    <mergeCell ref="AC44:AD44"/>
    <mergeCell ref="AC45:AD45"/>
    <mergeCell ref="AC46:AD46"/>
    <mergeCell ref="AC47:AD47"/>
    <mergeCell ref="AC48:AD48"/>
    <mergeCell ref="Y53:Z53"/>
    <mergeCell ref="Y54:Z54"/>
    <mergeCell ref="Y55:Z55"/>
    <mergeCell ref="Y56:Z56"/>
    <mergeCell ref="AA31:AB31"/>
    <mergeCell ref="AA32:AB32"/>
    <mergeCell ref="AA33:AB33"/>
    <mergeCell ref="AA34:AB34"/>
    <mergeCell ref="AA35:AB35"/>
    <mergeCell ref="AA36:AB36"/>
    <mergeCell ref="AA37:AB37"/>
    <mergeCell ref="AA38:AB38"/>
    <mergeCell ref="AA39:AB39"/>
    <mergeCell ref="AA40:AB40"/>
    <mergeCell ref="AA41:AB41"/>
    <mergeCell ref="AA42:AB42"/>
    <mergeCell ref="AA43:AB43"/>
    <mergeCell ref="AA44:AB44"/>
    <mergeCell ref="AA45:AB45"/>
    <mergeCell ref="AA46:AB46"/>
    <mergeCell ref="AA47:AB47"/>
    <mergeCell ref="AA48:AB48"/>
    <mergeCell ref="AA49:AB49"/>
    <mergeCell ref="AA50:AB50"/>
    <mergeCell ref="M64:P64"/>
    <mergeCell ref="M65:P65"/>
    <mergeCell ref="Y31:Z31"/>
    <mergeCell ref="Y32:Z32"/>
    <mergeCell ref="Y33:Z33"/>
    <mergeCell ref="Y34:Z34"/>
    <mergeCell ref="Y35:Z35"/>
    <mergeCell ref="Y36:Z36"/>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N53:Q53"/>
    <mergeCell ref="N54:Q54"/>
    <mergeCell ref="N55:Q55"/>
    <mergeCell ref="N56:Q56"/>
    <mergeCell ref="N57:Q57"/>
    <mergeCell ref="R58:U58"/>
    <mergeCell ref="R59:U59"/>
    <mergeCell ref="R60:U60"/>
    <mergeCell ref="V57:W57"/>
    <mergeCell ref="T53:U53"/>
    <mergeCell ref="T54:U54"/>
    <mergeCell ref="T55:U55"/>
    <mergeCell ref="T56:U56"/>
    <mergeCell ref="T57:U57"/>
    <mergeCell ref="V53:W53"/>
    <mergeCell ref="V54:W54"/>
    <mergeCell ref="V55:W55"/>
    <mergeCell ref="V56:W56"/>
    <mergeCell ref="N30:Q30"/>
    <mergeCell ref="N31:Q31"/>
    <mergeCell ref="N32:Q32"/>
    <mergeCell ref="N33:Q33"/>
    <mergeCell ref="N34:Q34"/>
    <mergeCell ref="N35:Q35"/>
    <mergeCell ref="N36:Q36"/>
    <mergeCell ref="N37:Q37"/>
    <mergeCell ref="N38:Q38"/>
    <mergeCell ref="N39:Q39"/>
    <mergeCell ref="N40:Q40"/>
    <mergeCell ref="N41:Q41"/>
    <mergeCell ref="N42:Q42"/>
    <mergeCell ref="N43:Q43"/>
    <mergeCell ref="N44:Q44"/>
    <mergeCell ref="N45:Q45"/>
    <mergeCell ref="N46:Q46"/>
    <mergeCell ref="N47:Q47"/>
    <mergeCell ref="N49:Q49"/>
    <mergeCell ref="N50:Q50"/>
    <mergeCell ref="N51:Q51"/>
    <mergeCell ref="N52:Q52"/>
    <mergeCell ref="T48:U48"/>
    <mergeCell ref="T49:U49"/>
    <mergeCell ref="T50:U50"/>
    <mergeCell ref="T51:U51"/>
    <mergeCell ref="T52:U52"/>
    <mergeCell ref="T30:U30"/>
    <mergeCell ref="T31:U31"/>
    <mergeCell ref="T32:U32"/>
    <mergeCell ref="T33:U33"/>
    <mergeCell ref="T34:U34"/>
    <mergeCell ref="T35:U35"/>
    <mergeCell ref="T36:U36"/>
    <mergeCell ref="T37:U37"/>
    <mergeCell ref="T38:U38"/>
    <mergeCell ref="V48:W48"/>
    <mergeCell ref="V49:W49"/>
    <mergeCell ref="V50:W50"/>
    <mergeCell ref="V51:W51"/>
    <mergeCell ref="V52:W52"/>
    <mergeCell ref="T39:U39"/>
    <mergeCell ref="T40:U40"/>
    <mergeCell ref="T41:U41"/>
    <mergeCell ref="T42:U42"/>
    <mergeCell ref="T43:U43"/>
    <mergeCell ref="T44:U44"/>
    <mergeCell ref="T45:U45"/>
    <mergeCell ref="T46:U46"/>
    <mergeCell ref="T47:U47"/>
    <mergeCell ref="V39:W39"/>
    <mergeCell ref="V40:W40"/>
    <mergeCell ref="V41:W41"/>
    <mergeCell ref="V42:W42"/>
    <mergeCell ref="V43:W43"/>
    <mergeCell ref="V44:W44"/>
    <mergeCell ref="V45:W45"/>
    <mergeCell ref="V46:W46"/>
    <mergeCell ref="V47:W47"/>
    <mergeCell ref="V30:W30"/>
    <mergeCell ref="V31:W31"/>
    <mergeCell ref="V32:W32"/>
    <mergeCell ref="V33:W33"/>
    <mergeCell ref="V34:W34"/>
    <mergeCell ref="V35:W35"/>
    <mergeCell ref="V36:W36"/>
    <mergeCell ref="V37:W37"/>
    <mergeCell ref="V38:W38"/>
    <mergeCell ref="C2:E2"/>
    <mergeCell ref="E64:G64"/>
    <mergeCell ref="N16:O16"/>
    <mergeCell ref="P16:Q16"/>
    <mergeCell ref="P17:Q17"/>
    <mergeCell ref="P18:Q18"/>
    <mergeCell ref="N9:Q9"/>
    <mergeCell ref="N15:Q15"/>
    <mergeCell ref="N2:Q2"/>
    <mergeCell ref="L62:Q62"/>
    <mergeCell ref="P10:Q10"/>
    <mergeCell ref="P11:Q11"/>
    <mergeCell ref="P12:Q12"/>
    <mergeCell ref="P13:Q13"/>
    <mergeCell ref="P14:Q14"/>
    <mergeCell ref="P3:Q3"/>
    <mergeCell ref="P4:Q4"/>
    <mergeCell ref="P5:Q5"/>
    <mergeCell ref="P6:Q6"/>
    <mergeCell ref="E51:G51"/>
    <mergeCell ref="B47:D47"/>
    <mergeCell ref="B52:D52"/>
    <mergeCell ref="B53:D53"/>
    <mergeCell ref="B54:D54"/>
    <mergeCell ref="D16:E16"/>
    <mergeCell ref="D17:E17"/>
    <mergeCell ref="D18:E18"/>
    <mergeCell ref="B16:C16"/>
    <mergeCell ref="F10:G10"/>
    <mergeCell ref="F11:G11"/>
    <mergeCell ref="B17:C17"/>
    <mergeCell ref="B9:E9"/>
    <mergeCell ref="AA16:AB16"/>
    <mergeCell ref="AA17:AB17"/>
    <mergeCell ref="AA18:AB18"/>
    <mergeCell ref="R2:R3"/>
    <mergeCell ref="B21:D21"/>
    <mergeCell ref="B10:E10"/>
    <mergeCell ref="P7:Q7"/>
    <mergeCell ref="N4:O4"/>
    <mergeCell ref="N6:O6"/>
    <mergeCell ref="N7:O7"/>
    <mergeCell ref="N10:O10"/>
    <mergeCell ref="N13:O13"/>
    <mergeCell ref="N12:O12"/>
    <mergeCell ref="H21:Q21"/>
    <mergeCell ref="N11:O11"/>
    <mergeCell ref="N14:O14"/>
    <mergeCell ref="B18:C18"/>
    <mergeCell ref="D6:E6"/>
    <mergeCell ref="D7:E7"/>
    <mergeCell ref="D8:E8"/>
    <mergeCell ref="F12:G12"/>
    <mergeCell ref="F14:G14"/>
    <mergeCell ref="F15:G15"/>
    <mergeCell ref="F16:G16"/>
    <mergeCell ref="F17:G17"/>
    <mergeCell ref="F18:G18"/>
    <mergeCell ref="F13:I13"/>
    <mergeCell ref="B3:E3"/>
    <mergeCell ref="N3:O3"/>
    <mergeCell ref="D5:E5"/>
    <mergeCell ref="N5:O5"/>
    <mergeCell ref="C4:E4"/>
    <mergeCell ref="D12:E12"/>
    <mergeCell ref="D13:E13"/>
    <mergeCell ref="D14:E14"/>
    <mergeCell ref="D15:E15"/>
    <mergeCell ref="B12:C12"/>
    <mergeCell ref="B13:C13"/>
    <mergeCell ref="B14:C14"/>
    <mergeCell ref="B15:C15"/>
    <mergeCell ref="F3:G3"/>
    <mergeCell ref="F4:G4"/>
    <mergeCell ref="F5:G5"/>
    <mergeCell ref="F6:G6"/>
    <mergeCell ref="F7:G7"/>
    <mergeCell ref="F8:G8"/>
    <mergeCell ref="F9:G9"/>
    <mergeCell ref="B11:E11"/>
    <mergeCell ref="C62:H62"/>
    <mergeCell ref="C63:H63"/>
    <mergeCell ref="B58:J58"/>
    <mergeCell ref="L58:N59"/>
    <mergeCell ref="B60:C60"/>
    <mergeCell ref="E60:F60"/>
    <mergeCell ref="H60:I60"/>
    <mergeCell ref="L60:N61"/>
    <mergeCell ref="K60:K61"/>
    <mergeCell ref="I62:J63"/>
    <mergeCell ref="K63:Q63"/>
    <mergeCell ref="O60:Q61"/>
    <mergeCell ref="B61:C61"/>
    <mergeCell ref="E61:F61"/>
    <mergeCell ref="H61:I61"/>
    <mergeCell ref="O58:Q59"/>
    <mergeCell ref="B59:C59"/>
    <mergeCell ref="E59:F59"/>
    <mergeCell ref="H59:I59"/>
    <mergeCell ref="K58:K59"/>
    <mergeCell ref="E34:G34"/>
    <mergeCell ref="E35:G35"/>
    <mergeCell ref="E36:G36"/>
    <mergeCell ref="E52:G52"/>
    <mergeCell ref="E53:G53"/>
    <mergeCell ref="E54:G54"/>
    <mergeCell ref="E55:G55"/>
    <mergeCell ref="E56:G56"/>
    <mergeCell ref="B48:D48"/>
    <mergeCell ref="B49:D49"/>
    <mergeCell ref="B50:D50"/>
    <mergeCell ref="B51:D51"/>
    <mergeCell ref="B44:D44"/>
    <mergeCell ref="B45:D45"/>
    <mergeCell ref="B46:D46"/>
    <mergeCell ref="E41:G41"/>
    <mergeCell ref="B55:D55"/>
    <mergeCell ref="B56:D56"/>
    <mergeCell ref="N48:Q48"/>
    <mergeCell ref="E42:G42"/>
    <mergeCell ref="E43:G43"/>
    <mergeCell ref="E44:G44"/>
    <mergeCell ref="E45:G45"/>
    <mergeCell ref="B22:D22"/>
    <mergeCell ref="B23:D23"/>
    <mergeCell ref="B24:D24"/>
    <mergeCell ref="B25:D25"/>
    <mergeCell ref="B26:D26"/>
    <mergeCell ref="B27:D27"/>
    <mergeCell ref="B28:D28"/>
    <mergeCell ref="E30:G30"/>
    <mergeCell ref="E31:G31"/>
    <mergeCell ref="E32:G32"/>
    <mergeCell ref="E33:G33"/>
    <mergeCell ref="E37:G37"/>
    <mergeCell ref="E38:G38"/>
    <mergeCell ref="E39:G39"/>
    <mergeCell ref="E40:G40"/>
    <mergeCell ref="B30:D30"/>
    <mergeCell ref="B31:D31"/>
    <mergeCell ref="R61:U61"/>
    <mergeCell ref="H23:Q23"/>
    <mergeCell ref="H24:Q24"/>
    <mergeCell ref="A29:A30"/>
    <mergeCell ref="B29:Q29"/>
    <mergeCell ref="B57:H57"/>
    <mergeCell ref="I57:K57"/>
    <mergeCell ref="E46:G46"/>
    <mergeCell ref="E47:G47"/>
    <mergeCell ref="E48:G48"/>
    <mergeCell ref="E49:G49"/>
    <mergeCell ref="E50:G50"/>
    <mergeCell ref="B32:D32"/>
    <mergeCell ref="B33:D33"/>
    <mergeCell ref="B34:D34"/>
    <mergeCell ref="B35:D35"/>
    <mergeCell ref="B36:D36"/>
    <mergeCell ref="B37:D37"/>
    <mergeCell ref="B38:D38"/>
    <mergeCell ref="B39:D39"/>
    <mergeCell ref="B40:D40"/>
    <mergeCell ref="B41:D41"/>
    <mergeCell ref="B42:D42"/>
    <mergeCell ref="B43:D43"/>
    <mergeCell ref="E69:F69"/>
    <mergeCell ref="J69:L69"/>
    <mergeCell ref="C68:D68"/>
    <mergeCell ref="E68:F68"/>
    <mergeCell ref="B64:D64"/>
    <mergeCell ref="H64:I64"/>
    <mergeCell ref="J64:L64"/>
    <mergeCell ref="C65:D65"/>
    <mergeCell ref="E65:F65"/>
    <mergeCell ref="C66:D66"/>
    <mergeCell ref="E66:F66"/>
    <mergeCell ref="C67:D67"/>
    <mergeCell ref="E67:F67"/>
    <mergeCell ref="U28:Y28"/>
    <mergeCell ref="N19:O19"/>
    <mergeCell ref="P19:Q19"/>
    <mergeCell ref="C20:Q20"/>
    <mergeCell ref="B19:C19"/>
    <mergeCell ref="F19:G19"/>
    <mergeCell ref="D19:E19"/>
    <mergeCell ref="H25:Q25"/>
    <mergeCell ref="H26:Q26"/>
    <mergeCell ref="H27:Q27"/>
    <mergeCell ref="U24:Y24"/>
    <mergeCell ref="H28:Q28"/>
    <mergeCell ref="U23:Y23"/>
    <mergeCell ref="H22:Q22"/>
    <mergeCell ref="T16:Y16"/>
    <mergeCell ref="U17:Y17"/>
    <mergeCell ref="U18:Y18"/>
    <mergeCell ref="U19:Y19"/>
    <mergeCell ref="U20:Y20"/>
    <mergeCell ref="U21:Y21"/>
    <mergeCell ref="U22:Y22"/>
    <mergeCell ref="T26:Y26"/>
    <mergeCell ref="U27:Y27"/>
  </mergeCells>
  <conditionalFormatting sqref="M65:P65">
    <cfRule type="cellIs" dxfId="23" priority="1" operator="lessThan">
      <formula>0</formula>
    </cfRule>
    <cfRule type="cellIs" dxfId="22" priority="2" operator="between">
      <formula>0</formula>
      <formula>-100</formula>
    </cfRule>
  </conditionalFormatting>
  <dataValidations count="6">
    <dataValidation type="whole" allowBlank="1" showInputMessage="1" showErrorMessage="1" errorTitle="Talent tier" error="You must select a tier level between 1 and the number in the cell to the right of this line" sqref="E22:E28">
      <formula1>1</formula1>
      <formula2>R22</formula2>
    </dataValidation>
    <dataValidation type="list" allowBlank="1" showInputMessage="1" showErrorMessage="1" sqref="C66:D68">
      <formula1>Armor</formula1>
    </dataValidation>
    <dataValidation type="list" allowBlank="1" showInputMessage="1" showErrorMessage="1" sqref="C65:D65">
      <formula1>"None, Very Light, Light, Medium, Heavy"</formula1>
    </dataValidation>
    <dataValidation type="list" allowBlank="1" showInputMessage="1" showErrorMessage="1" sqref="O17">
      <formula1>Shields</formula1>
    </dataValidation>
    <dataValidation type="list" allowBlank="1" showInputMessage="1" showErrorMessage="1" sqref="B22:B28">
      <formula1>TalentList</formula1>
    </dataValidation>
    <dataValidation type="list" allowBlank="1" showInputMessage="1" showErrorMessage="1" sqref="A31:A56">
      <formula1>$AA$16:$AA$19</formula1>
    </dataValidation>
  </dataValidations>
  <pageMargins left="0.25" right="0.25" top="0.75" bottom="0.75" header="0.3" footer="0.3"/>
  <pageSetup scale="73" orientation="portrait" horizontalDpi="360" verticalDpi="360" r:id="rId1"/>
  <ignoredErrors>
    <ignoredError sqref="P18"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Tables!L4:L11</xm:f>
          </x14:formula1>
          <xm:sqref>U17:Y17 U18:Y18 U19:Y19 U20:Y20 U21:Y21 U22:Y22 U23:Y23 U24:Y24</xm:sqref>
        </x14:dataValidation>
        <x14:dataValidation type="list" allowBlank="1" showInputMessage="1" showErrorMessage="1">
          <x14:formula1>
            <xm:f>Tables!$AD$3:$AD$7</xm:f>
          </x14:formula1>
          <xm:sqref>O17</xm:sqref>
        </x14:dataValidation>
        <x14:dataValidation type="list" allowBlank="1" showInputMessage="1" showErrorMessage="1">
          <x14:formula1>
            <xm:f>Talents!$C$4:$C$134</xm:f>
          </x14:formula1>
          <xm:sqref>B22:D28</xm:sqref>
        </x14:dataValidation>
        <x14:dataValidation type="list" allowBlank="1" showInputMessage="1" showErrorMessage="1">
          <x14:formula1>
            <xm:f>Tables!$L$4:$L$11</xm:f>
          </x14:formula1>
          <xm:sqref>U17:U24</xm:sqref>
        </x14:dataValidation>
        <x14:dataValidation type="list" allowBlank="1" showInputMessage="1" showErrorMessage="1">
          <x14:formula1>
            <xm:f>Tables!L4:L11</xm:f>
          </x14:formula1>
          <xm:sqref>U17:U24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4"/>
  <sheetViews>
    <sheetView showGridLines="0" workbookViewId="0">
      <selection activeCell="O10" sqref="O10"/>
    </sheetView>
  </sheetViews>
  <sheetFormatPr defaultRowHeight="15" x14ac:dyDescent="0.25"/>
  <cols>
    <col min="1" max="1" width="3.5703125" customWidth="1"/>
    <col min="2" max="2" width="30.7109375" customWidth="1"/>
    <col min="3" max="4" width="7.7109375" customWidth="1"/>
    <col min="5" max="5" width="19" customWidth="1"/>
    <col min="6" max="7" width="7.7109375" customWidth="1"/>
    <col min="8" max="8" width="18.85546875" bestFit="1" customWidth="1"/>
    <col min="9" max="10" width="7.7109375" customWidth="1"/>
  </cols>
  <sheetData>
    <row r="1" spans="2:10" ht="15.75" thickBot="1" x14ac:dyDescent="0.3"/>
    <row r="2" spans="2:10" ht="18.75" x14ac:dyDescent="0.3">
      <c r="B2" s="793" t="str">
        <f>"Skill Sheet For: "&amp;CharName</f>
        <v xml:space="preserve">Skill Sheet For: </v>
      </c>
      <c r="C2" s="794"/>
      <c r="D2" s="794"/>
      <c r="E2" s="795"/>
      <c r="F2" s="795"/>
      <c r="G2" s="795"/>
      <c r="H2" s="795" t="str">
        <f>"Level: "&amp;Level</f>
        <v>Level: 1</v>
      </c>
      <c r="I2" s="795"/>
      <c r="J2" s="796"/>
    </row>
    <row r="3" spans="2:10" ht="15.75" customHeight="1" x14ac:dyDescent="0.25">
      <c r="B3" s="81" t="s">
        <v>60</v>
      </c>
      <c r="C3" s="82" t="s">
        <v>61</v>
      </c>
      <c r="D3" s="83" t="s">
        <v>9</v>
      </c>
      <c r="E3" s="84" t="s">
        <v>60</v>
      </c>
      <c r="F3" s="82" t="s">
        <v>61</v>
      </c>
      <c r="G3" s="83" t="s">
        <v>9</v>
      </c>
      <c r="H3" s="84" t="s">
        <v>60</v>
      </c>
      <c r="I3" s="82" t="s">
        <v>61</v>
      </c>
      <c r="J3" s="85" t="s">
        <v>9</v>
      </c>
    </row>
    <row r="4" spans="2:10" ht="18.75" x14ac:dyDescent="0.3">
      <c r="B4" s="799" t="str">
        <f>IF(OR(Skills!E4="",Skills!E4=0),Skills!C4,Skills!E4&amp;": "&amp;Skills!F4)</f>
        <v>Academic</v>
      </c>
      <c r="C4" s="797"/>
      <c r="D4" s="797"/>
      <c r="E4" s="797" t="str">
        <f>IF(OR(Skills!E55="",Skills!E55=0),Skills!C55,Skills!E55&amp;": "&amp;Skills!F55)</f>
        <v>Outdoor</v>
      </c>
      <c r="F4" s="797"/>
      <c r="G4" s="797"/>
      <c r="H4" s="797" t="str">
        <f>IF(OR(Skills!E104="",Skills!E104=0),Skills!C104,Skills!E104&amp;": "&amp;Skills!F104)</f>
        <v>Subterfuge</v>
      </c>
      <c r="I4" s="797"/>
      <c r="J4" s="798"/>
    </row>
    <row r="5" spans="2:10" ht="15.75" x14ac:dyDescent="0.25">
      <c r="B5" s="86" t="str">
        <f>IF(OR(Skills!E5="",Skills!E5=0),Skills!C5,Skills!E5&amp;": "&amp;Skills!F5)</f>
        <v xml:space="preserve">Linguistics: </v>
      </c>
      <c r="C5" s="87">
        <f ca="1">IF(Skills!H5="","",Skills!H5)</f>
        <v>0</v>
      </c>
      <c r="D5" s="79">
        <f ca="1">IF(Skills!G5="","",Skills!G5)</f>
        <v>-25</v>
      </c>
      <c r="E5" s="89" t="str">
        <f>IF(OR(Skills!E56="",Skills!E56=0),Skills!C56,Skills!E56&amp;": "&amp;Skills!F56)</f>
        <v xml:space="preserve">Animal Handling: </v>
      </c>
      <c r="F5" s="87">
        <f ca="1">IF(Skills!H56="","",Skills!H56)</f>
        <v>0</v>
      </c>
      <c r="G5" s="79">
        <f ca="1">IF(Skills!G56="","",Skills!G56)</f>
        <v>-17</v>
      </c>
      <c r="H5" s="89" t="str">
        <f>IF(OR(Skills!E105="",Skills!E105=0),Skills!C105,Skills!E105&amp;": "&amp;Skills!F105)</f>
        <v xml:space="preserve">Ambush: </v>
      </c>
      <c r="I5" s="87">
        <f ca="1">IF(Skills!H105="","",Skills!H105)</f>
        <v>0</v>
      </c>
      <c r="J5" s="74">
        <f ca="1">IF(Skills!G105="","",Skills!G105)</f>
        <v>-25</v>
      </c>
    </row>
    <row r="6" spans="2:10" ht="15.75" x14ac:dyDescent="0.25">
      <c r="B6" s="86" t="str">
        <f>IF(OR(Skills!E6="",Skills!E6=0),Skills!C6,Skills!E6&amp;": "&amp;Skills!F6)</f>
        <v xml:space="preserve">Linguistics: </v>
      </c>
      <c r="C6" s="87">
        <f ca="1">IF(Skills!H6="","",Skills!H6)</f>
        <v>0</v>
      </c>
      <c r="D6" s="79">
        <f ca="1">IF(Skills!G6="","",Skills!G6)</f>
        <v>-25</v>
      </c>
      <c r="E6" s="89" t="str">
        <f>IF(OR(Skills!E57="",Skills!E57=0),Skills!C57,Skills!E57&amp;": "&amp;Skills!F57)</f>
        <v xml:space="preserve">Animal Handling: </v>
      </c>
      <c r="F6" s="87">
        <f ca="1">IF(Skills!H57="","",Skills!H57)</f>
        <v>0</v>
      </c>
      <c r="G6" s="79">
        <f ca="1">IF(Skills!G57="","",Skills!G57)</f>
        <v>-17</v>
      </c>
      <c r="H6" s="89" t="str">
        <f>IF(OR(Skills!E106="",Skills!E106=0),Skills!C106,Skills!E106&amp;": "&amp;Skills!F106)</f>
        <v xml:space="preserve">Ambush: </v>
      </c>
      <c r="I6" s="87">
        <f ca="1">IF(Skills!H106="","",Skills!H106)</f>
        <v>0</v>
      </c>
      <c r="J6" s="74">
        <f ca="1">IF(Skills!G106="","",Skills!G106)</f>
        <v>-25</v>
      </c>
    </row>
    <row r="7" spans="2:10" ht="15.75" x14ac:dyDescent="0.25">
      <c r="B7" s="86" t="str">
        <f>IF(OR(Skills!E7="",Skills!E7=0),Skills!C7,Skills!E7&amp;": "&amp;Skills!F7)</f>
        <v xml:space="preserve">Linguistics: </v>
      </c>
      <c r="C7" s="87">
        <f ca="1">IF(Skills!H7="","",Skills!H7)</f>
        <v>0</v>
      </c>
      <c r="D7" s="79">
        <f ca="1">IF(Skills!G7="","",Skills!G7)</f>
        <v>-25</v>
      </c>
      <c r="E7" s="89" t="str">
        <f>IF(OR(Skills!E58="",Skills!E58=0),Skills!C58,Skills!E58&amp;": "&amp;Skills!F58)</f>
        <v xml:space="preserve">Riding: </v>
      </c>
      <c r="F7" s="87">
        <f ca="1">IF(Skills!H58="","",Skills!H58)</f>
        <v>0</v>
      </c>
      <c r="G7" s="79">
        <f ca="1">IF(Skills!G58="","",Skills!G58)</f>
        <v>-17</v>
      </c>
      <c r="H7" s="89" t="str">
        <f>IF(OR(Skills!E107="",Skills!E107=0),Skills!C107,Skills!E107&amp;": "&amp;Skills!F107)</f>
        <v xml:space="preserve">Stalk/Hide*: </v>
      </c>
      <c r="I7" s="87">
        <f ca="1">IF(Skills!H107="","",Skills!H107)</f>
        <v>0</v>
      </c>
      <c r="J7" s="74">
        <f ca="1">IF(Skills!G107="","",Skills!G107)</f>
        <v>-25</v>
      </c>
    </row>
    <row r="8" spans="2:10" ht="15.75" x14ac:dyDescent="0.25">
      <c r="B8" s="86" t="str">
        <f>IF(OR(Skills!E8="",Skills!E8=0),Skills!C8,Skills!E8&amp;": "&amp;Skills!F8)</f>
        <v xml:space="preserve">Linguistics: </v>
      </c>
      <c r="C8" s="87">
        <f ca="1">IF(Skills!H8="","",Skills!H8)</f>
        <v>0</v>
      </c>
      <c r="D8" s="79">
        <f ca="1">IF(Skills!G8="","",Skills!G8)</f>
        <v>-25</v>
      </c>
      <c r="E8" s="89" t="str">
        <f>IF(OR(Skills!E59="",Skills!E59=0),Skills!C59,Skills!E59&amp;": "&amp;Skills!F59)</f>
        <v xml:space="preserve">Riding: </v>
      </c>
      <c r="F8" s="87">
        <f ca="1">IF(Skills!H59="","",Skills!H59)</f>
        <v>0</v>
      </c>
      <c r="G8" s="79">
        <f ca="1">IF(Skills!G59="","",Skills!G59)</f>
        <v>-17</v>
      </c>
      <c r="H8" s="89" t="str">
        <f>IF(OR(Skills!E108="",Skills!E108=0),Skills!C108,Skills!E108&amp;": "&amp;Skills!F108)</f>
        <v xml:space="preserve">Trickery: </v>
      </c>
      <c r="I8" s="87">
        <f ca="1">IF(Skills!H108="","",Skills!H108)</f>
        <v>0</v>
      </c>
      <c r="J8" s="74">
        <f ca="1">IF(Skills!G108="","",Skills!G108)</f>
        <v>-25</v>
      </c>
    </row>
    <row r="9" spans="2:10" ht="15.75" x14ac:dyDescent="0.25">
      <c r="B9" s="86" t="str">
        <f>IF(OR(Skills!E9="",Skills!E9=0),Skills!C9,Skills!E9&amp;": "&amp;Skills!F9)</f>
        <v xml:space="preserve">Linguistics: </v>
      </c>
      <c r="C9" s="87">
        <f ca="1">IF(Skills!H9="","",Skills!H9)</f>
        <v>0</v>
      </c>
      <c r="D9" s="79">
        <f ca="1">IF(Skills!G9="","",Skills!G9)</f>
        <v>-25</v>
      </c>
      <c r="E9" s="89" t="str">
        <f>IF(OR(Skills!E60="",Skills!E60=0),Skills!C60,Skills!E60&amp;": "&amp;Skills!F60)</f>
        <v xml:space="preserve">Driving/Pilot: </v>
      </c>
      <c r="F9" s="87">
        <f ca="1">IF(Skills!H60="","",Skills!H60)</f>
        <v>0</v>
      </c>
      <c r="G9" s="79">
        <f ca="1">IF(Skills!G60="","",Skills!G60)</f>
        <v>-25</v>
      </c>
      <c r="H9" s="90" t="str">
        <f>IF(OR(Skills!E109="",Skills!E109=0),Skills!C109,Skills!E109&amp;": "&amp;Skills!F109)</f>
        <v xml:space="preserve">Trickery: </v>
      </c>
      <c r="I9" s="98">
        <f ca="1">IF(Skills!H109="","",Skills!H109)</f>
        <v>0</v>
      </c>
      <c r="J9" s="100">
        <f ca="1">IF(Skills!G109="","",Skills!G109)</f>
        <v>-25</v>
      </c>
    </row>
    <row r="10" spans="2:10" ht="18.75" x14ac:dyDescent="0.3">
      <c r="B10" s="86" t="str">
        <f>IF(OR(Skills!E10="",Skills!E10=0),Skills!C10,Skills!E10&amp;": "&amp;Skills!F10)</f>
        <v>Lore: Own Region</v>
      </c>
      <c r="C10" s="87">
        <f ca="1">IF(Skills!H10="","",Skills!H10)</f>
        <v>0</v>
      </c>
      <c r="D10" s="79">
        <f ca="1">IF(Skills!G10="","",Skills!G10)</f>
        <v>-25</v>
      </c>
      <c r="E10" s="89" t="str">
        <f>IF(OR(Skills!E61="",Skills!E61=0),Skills!C61,Skills!E61&amp;": "&amp;Skills!F61)</f>
        <v xml:space="preserve">Survival: </v>
      </c>
      <c r="F10" s="87">
        <f ca="1">IF(Skills!H61="","",Skills!H61)</f>
        <v>0</v>
      </c>
      <c r="G10" s="79">
        <f ca="1">IF(Skills!G61="","",Skills!G61)</f>
        <v>-25</v>
      </c>
      <c r="H10" s="785" t="str">
        <f>IF(OR(Skills!E110="",Skills!E110=0),Skills!C110,Skills!E110&amp;": "&amp;Skills!F110)</f>
        <v>Trades &amp; Crafts</v>
      </c>
      <c r="I10" s="783"/>
      <c r="J10" s="786"/>
    </row>
    <row r="11" spans="2:10" ht="15.75" x14ac:dyDescent="0.25">
      <c r="B11" s="86" t="str">
        <f>IF(OR(Skills!E11="",Skills!E11=0),Skills!C11,Skills!E11&amp;": "&amp;Skills!F11)</f>
        <v xml:space="preserve">Lore: </v>
      </c>
      <c r="C11" s="87">
        <f ca="1">IF(Skills!H11="","",Skills!H11)</f>
        <v>0</v>
      </c>
      <c r="D11" s="79">
        <f ca="1">IF(Skills!G11="","",Skills!G11)</f>
        <v>-25</v>
      </c>
      <c r="E11" s="90" t="str">
        <f>IF(OR(Skills!E62="",Skills!E62=0),Skills!C62,Skills!E62&amp;": "&amp;Skills!F62)</f>
        <v xml:space="preserve">Survival: </v>
      </c>
      <c r="F11" s="98">
        <f ca="1">IF(Skills!H62="","",Skills!H62)</f>
        <v>0</v>
      </c>
      <c r="G11" s="99">
        <f ca="1">IF(Skills!G62="","",Skills!G62)</f>
        <v>-25</v>
      </c>
      <c r="H11" s="89" t="str">
        <f>IF(OR(Skills!E111="",Skills!E111=0),Skills!C111,Skills!E111&amp;": "&amp;Skills!F111)</f>
        <v xml:space="preserve">Composition: </v>
      </c>
      <c r="I11" s="87">
        <f ca="1">IF(Skills!H111="","",Skills!H111)</f>
        <v>0</v>
      </c>
      <c r="J11" s="74">
        <f ca="1">IF(Skills!G111="","",Skills!G111)</f>
        <v>-25</v>
      </c>
    </row>
    <row r="12" spans="2:10" ht="18.75" x14ac:dyDescent="0.3">
      <c r="B12" s="86" t="str">
        <f>IF(OR(Skills!E12="",Skills!E12=0),Skills!C12,Skills!E12&amp;": "&amp;Skills!F12)</f>
        <v xml:space="preserve">Lore: </v>
      </c>
      <c r="C12" s="87">
        <f ca="1">IF(Skills!H12="","",Skills!H12)</f>
        <v>0</v>
      </c>
      <c r="D12" s="79">
        <f ca="1">IF(Skills!G12="","",Skills!G12)</f>
        <v>-25</v>
      </c>
      <c r="E12" s="790" t="str">
        <f>IF(OR(Skills!E63="",Skills!E63=0),Skills!C63,Skills!E63&amp;": "&amp;Skills!F63)</f>
        <v>Perception</v>
      </c>
      <c r="F12" s="791"/>
      <c r="G12" s="792"/>
      <c r="H12" s="89" t="str">
        <f>IF(OR(Skills!E112="",Skills!E112=0),Skills!C112,Skills!E112&amp;": "&amp;Skills!F112)</f>
        <v xml:space="preserve">Composition: </v>
      </c>
      <c r="I12" s="87">
        <f ca="1">IF(Skills!H112="","",Skills!H112)</f>
        <v>0</v>
      </c>
      <c r="J12" s="74">
        <f ca="1">IF(Skills!G112="","",Skills!G112)</f>
        <v>-25</v>
      </c>
    </row>
    <row r="13" spans="2:10" ht="15.75" x14ac:dyDescent="0.25">
      <c r="B13" s="86" t="str">
        <f>IF(OR(Skills!E13="",Skills!E13=0),Skills!C13,Skills!E13&amp;": "&amp;Skills!F13)</f>
        <v xml:space="preserve">Lore: </v>
      </c>
      <c r="C13" s="87">
        <f ca="1">IF(Skills!H13="","",Skills!H13)</f>
        <v>0</v>
      </c>
      <c r="D13" s="79">
        <f ca="1">IF(Skills!G13="","",Skills!G13)</f>
        <v>-25</v>
      </c>
      <c r="E13" s="89" t="str">
        <f>IF(OR(Skills!E64="",Skills!E64=0),Skills!C64,Skills!E64&amp;": "&amp;Skills!F64)</f>
        <v xml:space="preserve">Navigation: </v>
      </c>
      <c r="F13" s="87">
        <f ca="1">IF(Skills!H64="","",Skills!H64)</f>
        <v>0</v>
      </c>
      <c r="G13" s="79">
        <f ca="1">IF(Skills!G64="","",Skills!G64)</f>
        <v>-25</v>
      </c>
      <c r="H13" s="89" t="str">
        <f>IF(OR(Skills!E113="",Skills!E113=0),Skills!C113,Skills!E113&amp;": "&amp;Skills!F113)</f>
        <v xml:space="preserve">Crafting: </v>
      </c>
      <c r="I13" s="87">
        <f ca="1">IF(Skills!H113="","",Skills!H113)</f>
        <v>0</v>
      </c>
      <c r="J13" s="74">
        <f ca="1">IF(Skills!G113="","",Skills!G113)</f>
        <v>-25</v>
      </c>
    </row>
    <row r="14" spans="2:10" ht="15.75" x14ac:dyDescent="0.25">
      <c r="B14" s="86" t="str">
        <f>IF(OR(Skills!E14="",Skills!E14=0),Skills!C14,Skills!E14&amp;": "&amp;Skills!F14)</f>
        <v xml:space="preserve">Lore: </v>
      </c>
      <c r="C14" s="87">
        <f ca="1">IF(Skills!H14="","",Skills!H14)</f>
        <v>0</v>
      </c>
      <c r="D14" s="79">
        <f ca="1">IF(Skills!G14="","",Skills!G14)</f>
        <v>-25</v>
      </c>
      <c r="E14" s="89" t="str">
        <f>IF(OR(Skills!E65="",Skills!E65=0),Skills!C65,Skills!E65&amp;": "&amp;Skills!F65)</f>
        <v xml:space="preserve">Navigation: </v>
      </c>
      <c r="F14" s="87">
        <f ca="1">IF(Skills!H65="","",Skills!H65)</f>
        <v>0</v>
      </c>
      <c r="G14" s="79">
        <f ca="1">IF(Skills!G65="","",Skills!G65)</f>
        <v>-25</v>
      </c>
      <c r="H14" s="89" t="str">
        <f>IF(OR(Skills!E114="",Skills!E114=0),Skills!C114,Skills!E114&amp;": "&amp;Skills!F114)</f>
        <v xml:space="preserve">Crafting: </v>
      </c>
      <c r="I14" s="87">
        <f ca="1">IF(Skills!H114="","",Skills!H114)</f>
        <v>0</v>
      </c>
      <c r="J14" s="74">
        <f ca="1">IF(Skills!G114="","",Skills!G114)</f>
        <v>-25</v>
      </c>
    </row>
    <row r="15" spans="2:10" ht="15.75" x14ac:dyDescent="0.25">
      <c r="B15" s="86" t="str">
        <f>IF(OR(Skills!E15="",Skills!E15=0),Skills!C15,Skills!E15&amp;": "&amp;Skills!F15)</f>
        <v>Science: Mathematics</v>
      </c>
      <c r="C15" s="87">
        <f ca="1">IF(Skills!H15="","",Skills!H15)</f>
        <v>0</v>
      </c>
      <c r="D15" s="79">
        <f ca="1">IF(Skills!G15="","",Skills!G15)</f>
        <v>-25</v>
      </c>
      <c r="E15" s="89" t="str">
        <f>IF(OR(Skills!E66="",Skills!E66=0),Skills!C66,Skills!E66&amp;": "&amp;Skills!F66)</f>
        <v xml:space="preserve">Perception*: </v>
      </c>
      <c r="F15" s="87">
        <f ca="1">IF(Skills!H66="","",Skills!H66)</f>
        <v>0</v>
      </c>
      <c r="G15" s="79">
        <f ca="1">IF(Skills!G66="","",Skills!G66)</f>
        <v>-25</v>
      </c>
      <c r="H15" s="89" t="str">
        <f>IF(OR(Skills!E115="",Skills!E115=0),Skills!C115,Skills!E115&amp;": "&amp;Skills!F115)</f>
        <v xml:space="preserve">Crafting: </v>
      </c>
      <c r="I15" s="87">
        <f ca="1">IF(Skills!H115="","",Skills!H115)</f>
        <v>0</v>
      </c>
      <c r="J15" s="74">
        <f ca="1">IF(Skills!G115="","",Skills!G115)</f>
        <v>-25</v>
      </c>
    </row>
    <row r="16" spans="2:10" ht="15.75" x14ac:dyDescent="0.25">
      <c r="B16" s="86" t="str">
        <f>IF(OR(Skills!E16="",Skills!E16=0),Skills!C16,Skills!E16&amp;": "&amp;Skills!F16)</f>
        <v xml:space="preserve">Science: </v>
      </c>
      <c r="C16" s="87">
        <f ca="1">IF(Skills!H16="","",Skills!H16)</f>
        <v>0</v>
      </c>
      <c r="D16" s="79">
        <f ca="1">IF(Skills!G16="","",Skills!G16)</f>
        <v>-25</v>
      </c>
      <c r="E16" s="90" t="str">
        <f>IF(OR(Skills!E67="",Skills!E67=0),Skills!C67,Skills!E67&amp;": "&amp;Skills!F67)</f>
        <v xml:space="preserve">Tracking*: </v>
      </c>
      <c r="F16" s="98">
        <f ca="1">IF(Skills!H67="","",Skills!H67)</f>
        <v>0</v>
      </c>
      <c r="G16" s="99">
        <f ca="1">IF(Skills!G67="","",Skills!G67)</f>
        <v>-17</v>
      </c>
      <c r="H16" s="89" t="str">
        <f>IF(OR(Skills!E116="",Skills!E116=0),Skills!C116,Skills!E116&amp;": "&amp;Skills!F116)</f>
        <v>Mechanical: Locks</v>
      </c>
      <c r="I16" s="87">
        <f ca="1">IF(Skills!H116="","",Skills!H116)</f>
        <v>0</v>
      </c>
      <c r="J16" s="74">
        <f ca="1">IF(Skills!G116="","",Skills!G116)</f>
        <v>-25</v>
      </c>
    </row>
    <row r="17" spans="2:10" ht="18.75" x14ac:dyDescent="0.3">
      <c r="B17" s="88" t="str">
        <f>IF(OR(Skills!E17="",Skills!E17=0),Skills!C17,Skills!E17&amp;": "&amp;Skills!F17)</f>
        <v xml:space="preserve">Science: </v>
      </c>
      <c r="C17" s="98">
        <f ca="1">IF(Skills!H17="","",Skills!H17)</f>
        <v>0</v>
      </c>
      <c r="D17" s="99">
        <f ca="1">IF(Skills!G17="","",Skills!G17)</f>
        <v>-25</v>
      </c>
      <c r="E17" s="785" t="str">
        <f>IF(OR(Skills!E68="",Skills!E68=0),Skills!C68,Skills!E68&amp;": "&amp;Skills!F68)</f>
        <v>Social</v>
      </c>
      <c r="F17" s="783"/>
      <c r="G17" s="784"/>
      <c r="H17" s="89" t="str">
        <f>IF(OR(Skills!E117="",Skills!E117=0),Skills!C117,Skills!E117&amp;": "&amp;Skills!F117)</f>
        <v>Mechanical: Traps</v>
      </c>
      <c r="I17" s="87">
        <f ca="1">IF(Skills!H117="","",Skills!H117)</f>
        <v>0</v>
      </c>
      <c r="J17" s="74">
        <f ca="1">IF(Skills!G117="","",Skills!G117)</f>
        <v>-25</v>
      </c>
    </row>
    <row r="18" spans="2:10" ht="18.75" x14ac:dyDescent="0.3">
      <c r="B18" s="782" t="str">
        <f>IF(OR(Skills!E18="",Skills!E18=0),Skills!C18,Skills!E18&amp;": "&amp;Skills!F18)</f>
        <v>Athletic</v>
      </c>
      <c r="C18" s="783"/>
      <c r="D18" s="784"/>
      <c r="E18" s="89" t="str">
        <f>IF(OR(Skills!E69="",Skills!E69=0),Skills!C69,Skills!E69&amp;": "&amp;Skills!F69)</f>
        <v>Influence: Charm</v>
      </c>
      <c r="F18" s="87">
        <f ca="1">IF(Skills!H69="","",Skills!H69)</f>
        <v>0</v>
      </c>
      <c r="G18" s="79">
        <f ca="1">IF(Skills!G69="","",Skills!G69)</f>
        <v>-17</v>
      </c>
      <c r="H18" s="89" t="str">
        <f>IF(OR(Skills!E118="",Skills!E118=0),Skills!C118,Skills!E118&amp;": "&amp;Skills!F118)</f>
        <v xml:space="preserve">Mechanical: </v>
      </c>
      <c r="I18" s="87">
        <f ca="1">IF(Skills!H118="","",Skills!H118)</f>
        <v>0</v>
      </c>
      <c r="J18" s="74">
        <f ca="1">IF(Skills!G118="","",Skills!G118)</f>
        <v>-25</v>
      </c>
    </row>
    <row r="19" spans="2:10" ht="15.75" x14ac:dyDescent="0.25">
      <c r="B19" s="86" t="str">
        <f>IF(OR(Skills!E19="",Skills!E19=0),Skills!C19,Skills!E19&amp;": "&amp;Skills!F19)</f>
        <v xml:space="preserve">Body Development*: </v>
      </c>
      <c r="C19" s="87">
        <f ca="1">IF(Skills!H19="","",Skills!H19)</f>
        <v>0</v>
      </c>
      <c r="D19" s="79">
        <f ca="1">IF(Skills!G19="","",Skills!G19)</f>
        <v>0</v>
      </c>
      <c r="E19" s="89" t="str">
        <f>IF(OR(Skills!E70="",Skills!E70=0),Skills!C70,Skills!E70&amp;": "&amp;Skills!F70)</f>
        <v>Influence: Trading</v>
      </c>
      <c r="F19" s="87">
        <f ca="1">IF(Skills!H70="","",Skills!H70)</f>
        <v>0</v>
      </c>
      <c r="G19" s="79">
        <f ca="1">IF(Skills!G70="","",Skills!G70)</f>
        <v>-17</v>
      </c>
      <c r="H19" s="89" t="str">
        <f>IF(OR(Skills!E119="",Skills!E119=0),Skills!C119,Skills!E119&amp;": "&amp;Skills!F119)</f>
        <v>Medical: Diagnostics</v>
      </c>
      <c r="I19" s="87">
        <f ca="1">IF(Skills!H119="","",Skills!H119)</f>
        <v>0</v>
      </c>
      <c r="J19" s="74">
        <f ca="1">IF(Skills!G119="","",Skills!G119)</f>
        <v>-25</v>
      </c>
    </row>
    <row r="20" spans="2:10" ht="15.75" x14ac:dyDescent="0.25">
      <c r="B20" s="86" t="str">
        <f>IF(OR(Skills!E20="",Skills!E20=0),Skills!C20,Skills!E20&amp;": "&amp;Skills!F20)</f>
        <v>Gymnastic: Acrobatics</v>
      </c>
      <c r="C20" s="87">
        <f ca="1">IF(Skills!H20="","",Skills!H20)</f>
        <v>0</v>
      </c>
      <c r="D20" s="79">
        <f ca="1">IF(Skills!G20="","",Skills!G20)</f>
        <v>-25</v>
      </c>
      <c r="E20" s="89" t="str">
        <f>IF(OR(Skills!E71="",Skills!E71=0),Skills!C71,Skills!E71&amp;": "&amp;Skills!F71)</f>
        <v xml:space="preserve">Influence: </v>
      </c>
      <c r="F20" s="87">
        <f ca="1">IF(Skills!H71="","",Skills!H71)</f>
        <v>0</v>
      </c>
      <c r="G20" s="79">
        <f ca="1">IF(Skills!G71="","",Skills!G71)</f>
        <v>-17</v>
      </c>
      <c r="H20" s="89" t="str">
        <f>IF(OR(Skills!E120="",Skills!E120=0),Skills!C120,Skills!E120&amp;": "&amp;Skills!F120)</f>
        <v>Medical: First Aid</v>
      </c>
      <c r="I20" s="87">
        <f ca="1">IF(Skills!H120="","",Skills!H120)</f>
        <v>0</v>
      </c>
      <c r="J20" s="74">
        <f ca="1">IF(Skills!G120="","",Skills!G120)</f>
        <v>-25</v>
      </c>
    </row>
    <row r="21" spans="2:10" ht="15.75" x14ac:dyDescent="0.25">
      <c r="B21" s="86" t="str">
        <f>IF(OR(Skills!E21="",Skills!E21=0),Skills!C21,Skills!E21&amp;": "&amp;Skills!F21)</f>
        <v>Gymnastic: Jumping</v>
      </c>
      <c r="C21" s="87">
        <f ca="1">IF(Skills!H21="","",Skills!H21)</f>
        <v>0</v>
      </c>
      <c r="D21" s="79">
        <f ca="1">IF(Skills!G21="","",Skills!G21)</f>
        <v>-25</v>
      </c>
      <c r="E21" s="89" t="str">
        <f>IF(OR(Skills!E72="",Skills!E72=0),Skills!C72,Skills!E72&amp;": "&amp;Skills!F72)</f>
        <v xml:space="preserve">Influence: </v>
      </c>
      <c r="F21" s="87">
        <f ca="1">IF(Skills!H72="","",Skills!H72)</f>
        <v>0</v>
      </c>
      <c r="G21" s="79">
        <f ca="1">IF(Skills!G72="","",Skills!G72)</f>
        <v>-17</v>
      </c>
      <c r="H21" s="89" t="str">
        <f>IF(OR(Skills!E121="",Skills!E121=0),Skills!C121,Skills!E121&amp;": "&amp;Skills!F121)</f>
        <v>Medical: Herbalism</v>
      </c>
      <c r="I21" s="87">
        <f ca="1">IF(Skills!H121="","",Skills!H121)</f>
        <v>0</v>
      </c>
      <c r="J21" s="74">
        <f ca="1">IF(Skills!G121="","",Skills!G121)</f>
        <v>-25</v>
      </c>
    </row>
    <row r="22" spans="2:10" ht="15.75" x14ac:dyDescent="0.25">
      <c r="B22" s="86" t="str">
        <f>IF(OR(Skills!E22="",Skills!E22=0),Skills!C22,Skills!E22&amp;": "&amp;Skills!F22)</f>
        <v xml:space="preserve">Gymnastic: </v>
      </c>
      <c r="C22" s="87">
        <f ca="1">IF(Skills!H22="","",Skills!H22)</f>
        <v>0</v>
      </c>
      <c r="D22" s="79">
        <f ca="1">IF(Skills!G22="","",Skills!G22)</f>
        <v>-25</v>
      </c>
      <c r="E22" s="89" t="str">
        <f>IF(OR(Skills!E73="",Skills!E73=0),Skills!C73,Skills!E73&amp;": "&amp;Skills!F73)</f>
        <v xml:space="preserve">Leadership*: </v>
      </c>
      <c r="F22" s="87">
        <f ca="1">IF(Skills!H73="","",Skills!H73)</f>
        <v>0</v>
      </c>
      <c r="G22" s="79">
        <f ca="1">IF(Skills!G73="","",Skills!G73)</f>
        <v>-17</v>
      </c>
      <c r="H22" s="89" t="str">
        <f>IF(OR(Skills!E122="",Skills!E122=0),Skills!C122,Skills!E122&amp;": "&amp;Skills!F122)</f>
        <v xml:space="preserve">Medical: </v>
      </c>
      <c r="I22" s="87">
        <f ca="1">IF(Skills!H122="","",Skills!H122)</f>
        <v>0</v>
      </c>
      <c r="J22" s="74">
        <f ca="1">IF(Skills!G122="","",Skills!G122)</f>
        <v>-25</v>
      </c>
    </row>
    <row r="23" spans="2:10" ht="15.75" x14ac:dyDescent="0.25">
      <c r="B23" s="86" t="str">
        <f>IF(OR(Skills!E23="",Skills!E23=0),Skills!C23,Skills!E23&amp;": "&amp;Skills!F23)</f>
        <v xml:space="preserve">Gymnastic: </v>
      </c>
      <c r="C23" s="87">
        <f ca="1">IF(Skills!H23="","",Skills!H23)</f>
        <v>0</v>
      </c>
      <c r="D23" s="79">
        <f ca="1">IF(Skills!G23="","",Skills!G23)</f>
        <v>-25</v>
      </c>
      <c r="E23" s="90" t="str">
        <f>IF(OR(Skills!E74="",Skills!E74=0),Skills!C74,Skills!E74&amp;": "&amp;Skills!F74)</f>
        <v xml:space="preserve">Social Awareness*: </v>
      </c>
      <c r="F23" s="98">
        <f ca="1">IF(Skills!H74="","",Skills!H74)</f>
        <v>0</v>
      </c>
      <c r="G23" s="99">
        <f ca="1">IF(Skills!G74="","",Skills!G74)</f>
        <v>-17</v>
      </c>
      <c r="H23" s="89" t="str">
        <f>IF(OR(Skills!E123="",Skills!E123=0),Skills!C123,Skills!E123&amp;": "&amp;Skills!F123)</f>
        <v xml:space="preserve">Performance Art: </v>
      </c>
      <c r="I23" s="87">
        <f ca="1">IF(Skills!H123="","",Skills!H123)</f>
        <v>0</v>
      </c>
      <c r="J23" s="74">
        <f ca="1">IF(Skills!G123="","",Skills!G123)</f>
        <v>-17</v>
      </c>
    </row>
    <row r="24" spans="2:10" ht="18.75" x14ac:dyDescent="0.3">
      <c r="B24" s="86" t="str">
        <f>IF(OR(Skills!E24="",Skills!E24=0),Skills!C24,Skills!E24&amp;": "&amp;Skills!F24)</f>
        <v>Movement: Climbing</v>
      </c>
      <c r="C24" s="87">
        <f ca="1">IF(Skills!H24="","",Skills!H24)</f>
        <v>0</v>
      </c>
      <c r="D24" s="79">
        <f ca="1">IF(Skills!G24="","",Skills!G24)</f>
        <v>-25</v>
      </c>
      <c r="E24" s="785" t="str">
        <f>IF(OR(Skills!E75="",Skills!E75=0),Skills!C75,Skills!E75&amp;": "&amp;Skills!F75)</f>
        <v>Spellcasting</v>
      </c>
      <c r="F24" s="783"/>
      <c r="G24" s="784"/>
      <c r="H24" s="89" t="str">
        <f>IF(OR(Skills!E124="",Skills!E124=0),Skills!C124,Skills!E124&amp;": "&amp;Skills!F124)</f>
        <v xml:space="preserve">Performance Art: </v>
      </c>
      <c r="I24" s="87">
        <f ca="1">IF(Skills!H124="","",Skills!H124)</f>
        <v>0</v>
      </c>
      <c r="J24" s="74">
        <f ca="1">IF(Skills!G124="","",Skills!G124)</f>
        <v>-17</v>
      </c>
    </row>
    <row r="25" spans="2:10" ht="15.75" x14ac:dyDescent="0.25">
      <c r="B25" s="86" t="str">
        <f>IF(OR(Skills!E25="",Skills!E25=0),Skills!C25,Skills!E25&amp;": "&amp;Skills!F25)</f>
        <v>Movement: Running</v>
      </c>
      <c r="C25" s="87">
        <f ca="1">IF(Skills!H25="","",Skills!H25)</f>
        <v>0</v>
      </c>
      <c r="D25" s="79">
        <f ca="1">IF(Skills!G25="","",Skills!G25)</f>
        <v>-25</v>
      </c>
      <c r="E25" s="89" t="str">
        <f>IF(OR(Skills!E76="",Skills!E76=0),Skills!C76,Skills!E76&amp;": "&amp;Skills!F76)</f>
        <v xml:space="preserve">Magic Ritual: </v>
      </c>
      <c r="F25" s="87">
        <f ca="1">IF(Skills!H76="","",Skills!H76)</f>
        <v>0</v>
      </c>
      <c r="G25" s="79">
        <f ca="1">IF(Skills!G76="","",Skills!G76)</f>
        <v>-9</v>
      </c>
      <c r="H25" s="89" t="str">
        <f>IF(OR(Skills!E125="",Skills!E125=0),Skills!C125,Skills!E125&amp;": "&amp;Skills!F125)</f>
        <v xml:space="preserve">Vocation: </v>
      </c>
      <c r="I25" s="87">
        <f ca="1">IF(Skills!H125="","",Skills!H125)</f>
        <v>0</v>
      </c>
      <c r="J25" s="74">
        <f ca="1">IF(Skills!G125="","",Skills!G125)</f>
        <v>-17</v>
      </c>
    </row>
    <row r="26" spans="2:10" ht="15.75" x14ac:dyDescent="0.25">
      <c r="B26" s="86" t="str">
        <f>IF(OR(Skills!E26="",Skills!E26=0),Skills!C26,Skills!E26&amp;": "&amp;Skills!F26)</f>
        <v>Movement: Swimming</v>
      </c>
      <c r="C26" s="87">
        <f ca="1">IF(Skills!H26="","",Skills!H26)</f>
        <v>0</v>
      </c>
      <c r="D26" s="79">
        <f ca="1">IF(Skills!G26="","",Skills!G26)</f>
        <v>-25</v>
      </c>
      <c r="E26" s="89" t="str">
        <f>IF(OR(Skills!E77="",Skills!E77=0),Skills!C77,Skills!E77&amp;": "&amp;Skills!F77)</f>
        <v xml:space="preserve">Magic Ritual: </v>
      </c>
      <c r="F26" s="87">
        <f ca="1">IF(Skills!H77="","",Skills!H77)</f>
        <v>0</v>
      </c>
      <c r="G26" s="79">
        <f ca="1">IF(Skills!G77="","",Skills!G77)</f>
        <v>-9</v>
      </c>
      <c r="H26" s="90" t="str">
        <f>IF(OR(Skills!E126="",Skills!E126=0),Skills!C126,Skills!E126&amp;": "&amp;Skills!F126)</f>
        <v xml:space="preserve">Vocation: </v>
      </c>
      <c r="I26" s="98">
        <f ca="1">IF(Skills!H126="","",Skills!H126)</f>
        <v>0</v>
      </c>
      <c r="J26" s="100">
        <f ca="1">IF(Skills!G126="","",Skills!G126)</f>
        <v>-17</v>
      </c>
    </row>
    <row r="27" spans="2:10" ht="18.75" x14ac:dyDescent="0.3">
      <c r="B27" s="88" t="str">
        <f>IF(OR(Skills!E27="",Skills!E27=0),Skills!C27,Skills!E27&amp;": "&amp;Skills!F27)</f>
        <v xml:space="preserve">Movement: </v>
      </c>
      <c r="C27" s="98">
        <f ca="1">IF(Skills!H27="","",Skills!H27)</f>
        <v>0</v>
      </c>
      <c r="D27" s="99">
        <f ca="1">IF(Skills!G27="","",Skills!G27)</f>
        <v>-25</v>
      </c>
      <c r="E27" s="89" t="str">
        <f>IF(OR(Skills!E78="",Skills!E78=0),Skills!C78,Skills!E78&amp;": "&amp;Skills!F78)</f>
        <v xml:space="preserve">Magic Ritual: </v>
      </c>
      <c r="F27" s="87">
        <f ca="1">IF(Skills!H78="","",Skills!H78)</f>
        <v>0</v>
      </c>
      <c r="G27" s="79">
        <f ca="1">IF(Skills!G78="","",Skills!G78)</f>
        <v>-9</v>
      </c>
      <c r="H27" s="785" t="s">
        <v>293</v>
      </c>
      <c r="I27" s="783"/>
      <c r="J27" s="786"/>
    </row>
    <row r="28" spans="2:10" ht="18.75" x14ac:dyDescent="0.3">
      <c r="B28" s="782" t="str">
        <f>IF(OR(Skills!E28="",Skills!E28=0),Skills!C28,Skills!E28&amp;": "&amp;Skills!F28)</f>
        <v>Combat</v>
      </c>
      <c r="C28" s="783"/>
      <c r="D28" s="784"/>
      <c r="E28" s="89" t="str">
        <f>IF(OR(Skills!E79="",Skills!E79=0),Skills!C79,Skills!E79&amp;": "&amp;Skills!F79)</f>
        <v xml:space="preserve">Magic Ritual: </v>
      </c>
      <c r="F28" s="87">
        <f ca="1">IF(Skills!H79="","",Skills!H79)</f>
        <v>0</v>
      </c>
      <c r="G28" s="79">
        <f ca="1">IF(Skills!G79="","",Skills!G79)</f>
        <v>-9</v>
      </c>
      <c r="H28" s="787"/>
      <c r="I28" s="788"/>
      <c r="J28" s="789"/>
    </row>
    <row r="29" spans="2:10" ht="15.75" x14ac:dyDescent="0.25">
      <c r="B29" s="86" t="str">
        <f>IF(OR(Skills!E29="",Skills!E29=0),Skills!C29,Skills!E29&amp;": "&amp;Skills!F29)</f>
        <v>Combat Expertise: Man. in Armor</v>
      </c>
      <c r="C29" s="87">
        <f ca="1">IF(Skills!H29="","",Skills!H29)</f>
        <v>0</v>
      </c>
      <c r="D29" s="79">
        <f ca="1">IF(Skills!G29="","",Skills!G29)</f>
        <v>0</v>
      </c>
      <c r="E29" s="89" t="str">
        <f>IF(OR(Skills!E80="",Skills!E80=0),Skills!C80,Skills!E80&amp;": "&amp;Skills!F80)</f>
        <v xml:space="preserve">Magic Ritual: </v>
      </c>
      <c r="F29" s="87">
        <f ca="1">IF(Skills!H80="","",Skills!H80)</f>
        <v>0</v>
      </c>
      <c r="G29" s="79">
        <f ca="1">IF(Skills!G80="","",Skills!G80)</f>
        <v>-9</v>
      </c>
      <c r="H29" s="776"/>
      <c r="I29" s="777"/>
      <c r="J29" s="778"/>
    </row>
    <row r="30" spans="2:10" ht="15.75" x14ac:dyDescent="0.25">
      <c r="B30" s="86" t="str">
        <f>IF(OR(Skills!E30="",Skills!E30=0),Skills!C30,Skills!E30&amp;": "&amp;Skills!F30)</f>
        <v xml:space="preserve">Combat Expertise: </v>
      </c>
      <c r="C30" s="87">
        <f ca="1">IF(Skills!H30="","",Skills!H30)</f>
        <v>0</v>
      </c>
      <c r="D30" s="79">
        <f ca="1">IF(Skills!G30="","",Skills!G30)</f>
        <v>0</v>
      </c>
      <c r="E30" s="89" t="str">
        <f>IF(OR(Skills!E81="",Skills!E81=0),Skills!C81,Skills!E81&amp;": "&amp;Skills!F81)</f>
        <v xml:space="preserve">Power Development*: </v>
      </c>
      <c r="F30" s="87">
        <f ca="1">IF(Skills!H81="","",Skills!H81)</f>
        <v>0</v>
      </c>
      <c r="G30" s="79">
        <f ca="1">IF(Skills!G81="","",Skills!G81)</f>
        <v>0</v>
      </c>
      <c r="H30" s="776"/>
      <c r="I30" s="777"/>
      <c r="J30" s="778"/>
    </row>
    <row r="31" spans="2:10" ht="15.75" x14ac:dyDescent="0.25">
      <c r="B31" s="86" t="str">
        <f>IF(OR(Skills!E31="",Skills!E31=0),Skills!C31,Skills!E31&amp;": "&amp;Skills!F31)</f>
        <v xml:space="preserve">Combat Expertise: </v>
      </c>
      <c r="C31" s="87">
        <f ca="1">IF(Skills!H31="","",Skills!H31)</f>
        <v>0</v>
      </c>
      <c r="D31" s="79">
        <f ca="1">IF(Skills!G31="","",Skills!G31)</f>
        <v>0</v>
      </c>
      <c r="E31" s="89" t="str">
        <f>IF(OR(Skills!E82="",Skills!E82=0),Skills!C82,Skills!E82&amp;": "&amp;Skills!F82)</f>
        <v>Base: Spirit Mastery</v>
      </c>
      <c r="F31" s="87">
        <f ca="1">IF(Skills!H82="","",Skills!H82)</f>
        <v>1</v>
      </c>
      <c r="G31" s="79">
        <f ca="1">IF(Skills!G82="","",Skills!G82)</f>
        <v>21</v>
      </c>
      <c r="H31" s="776"/>
      <c r="I31" s="777"/>
      <c r="J31" s="778"/>
    </row>
    <row r="32" spans="2:10" ht="15.75" x14ac:dyDescent="0.25">
      <c r="B32" s="86" t="str">
        <f>IF(OR(Skills!E32="",Skills!E32=0),Skills!C32,Skills!E32&amp;": "&amp;Skills!F32)</f>
        <v xml:space="preserve">Combat Expertise: </v>
      </c>
      <c r="C32" s="87">
        <f ca="1">IF(Skills!H32="","",Skills!H32)</f>
        <v>0</v>
      </c>
      <c r="D32" s="79">
        <f ca="1">IF(Skills!G32="","",Skills!G32)</f>
        <v>0</v>
      </c>
      <c r="E32" s="89" t="str">
        <f>IF(OR(Skills!E83="",Skills!E83=0),Skills!C83,Skills!E83&amp;": "&amp;Skills!F83)</f>
        <v xml:space="preserve">Base: </v>
      </c>
      <c r="F32" s="87">
        <f ca="1">IF(Skills!H83="","",Skills!H83)</f>
        <v>0</v>
      </c>
      <c r="G32" s="79">
        <f ca="1">IF(Skills!G83="","",Skills!G83)</f>
        <v>-9</v>
      </c>
      <c r="H32" s="776"/>
      <c r="I32" s="777"/>
      <c r="J32" s="778"/>
    </row>
    <row r="33" spans="2:10" ht="15.75" x14ac:dyDescent="0.25">
      <c r="B33" s="86" t="str">
        <f>IF(OR(Skills!E33="",Skills!E33=0),Skills!C33,Skills!E33&amp;": "&amp;Skills!F33)</f>
        <v xml:space="preserve">Combat Expertise: </v>
      </c>
      <c r="C33" s="87">
        <f ca="1">IF(Skills!H33="","",Skills!H33)</f>
        <v>0</v>
      </c>
      <c r="D33" s="79">
        <f ca="1">IF(Skills!G33="","",Skills!G33)</f>
        <v>0</v>
      </c>
      <c r="E33" s="89" t="str">
        <f>IF(OR(Skills!E84="",Skills!E84=0),Skills!C84,Skills!E84&amp;": "&amp;Skills!F84)</f>
        <v xml:space="preserve">Base: </v>
      </c>
      <c r="F33" s="87">
        <f ca="1">IF(Skills!H84="","",Skills!H84)</f>
        <v>0</v>
      </c>
      <c r="G33" s="79">
        <f ca="1">IF(Skills!G84="","",Skills!G84)</f>
        <v>-9</v>
      </c>
      <c r="H33" s="776"/>
      <c r="I33" s="777"/>
      <c r="J33" s="778"/>
    </row>
    <row r="34" spans="2:10" ht="15.75" x14ac:dyDescent="0.25">
      <c r="B34" s="86" t="str">
        <f>IF(OR(Skills!E34="",Skills!E34=0),Skills!C34,Skills!E34&amp;": "&amp;Skills!F34)</f>
        <v xml:space="preserve">Combat Expertise: </v>
      </c>
      <c r="C34" s="87">
        <f ca="1">IF(Skills!H34="","",Skills!H34)</f>
        <v>0</v>
      </c>
      <c r="D34" s="79">
        <f ca="1">IF(Skills!G34="","",Skills!G34)</f>
        <v>0</v>
      </c>
      <c r="E34" s="89" t="str">
        <f>IF(OR(Skills!E85="",Skills!E85=0),Skills!C85,Skills!E85&amp;": "&amp;Skills!F85)</f>
        <v xml:space="preserve">Base: </v>
      </c>
      <c r="F34" s="87">
        <f ca="1">IF(Skills!H85="","",Skills!H85)</f>
        <v>0</v>
      </c>
      <c r="G34" s="79">
        <f ca="1">IF(Skills!G85="","",Skills!G85)</f>
        <v>-9</v>
      </c>
      <c r="H34" s="776"/>
      <c r="I34" s="777"/>
      <c r="J34" s="778"/>
    </row>
    <row r="35" spans="2:10" ht="15.75" x14ac:dyDescent="0.25">
      <c r="B35" s="86" t="str">
        <f>IF(OR(Skills!E35="",Skills!E35=0),Skills!C35,Skills!E35&amp;": "&amp;Skills!F35)</f>
        <v xml:space="preserve">Shield*: </v>
      </c>
      <c r="C35" s="87">
        <f ca="1">IF(Skills!H35="","",Skills!H35)</f>
        <v>0</v>
      </c>
      <c r="D35" s="79">
        <f ca="1">IF(Skills!G35="","",Skills!G35)</f>
        <v>0</v>
      </c>
      <c r="E35" s="89" t="str">
        <f>IF(OR(Skills!E86="",Skills!E86=0),Skills!C86,Skills!E86&amp;": "&amp;Skills!F86)</f>
        <v xml:space="preserve">Base: </v>
      </c>
      <c r="F35" s="87">
        <f ca="1">IF(Skills!H86="","",Skills!H86)</f>
        <v>0</v>
      </c>
      <c r="G35" s="79">
        <f ca="1">IF(Skills!G86="","",Skills!G86)</f>
        <v>-9</v>
      </c>
      <c r="H35" s="776"/>
      <c r="I35" s="777"/>
      <c r="J35" s="778"/>
    </row>
    <row r="36" spans="2:10" ht="15.75" x14ac:dyDescent="0.25">
      <c r="B36" s="86" t="str">
        <f ca="1">IF(OR(Skills!E36="",Skills!E36=0),Skills!C36,Skills!E36&amp;": "&amp;Skills!F36)</f>
        <v xml:space="preserve">Melee: </v>
      </c>
      <c r="C36" s="87">
        <f ca="1">IF(Skills!H36="","",Skills!H36)</f>
        <v>0</v>
      </c>
      <c r="D36" s="79">
        <f ca="1">IF(Skills!G36="","",Skills!G36)</f>
        <v>-25</v>
      </c>
      <c r="E36" s="89" t="str">
        <f>IF(OR(Skills!E87="",Skills!E87=0),Skills!C87,Skills!E87&amp;": "&amp;Skills!F87)</f>
        <v xml:space="preserve">Base: </v>
      </c>
      <c r="F36" s="87">
        <f ca="1">IF(Skills!H87="","",Skills!H87)</f>
        <v>0</v>
      </c>
      <c r="G36" s="79">
        <f ca="1">IF(Skills!G87="","",Skills!G87)</f>
        <v>-9</v>
      </c>
      <c r="H36" s="776"/>
      <c r="I36" s="777"/>
      <c r="J36" s="778"/>
    </row>
    <row r="37" spans="2:10" ht="15.75" x14ac:dyDescent="0.25">
      <c r="B37" s="86" t="str">
        <f ca="1">IF(OR(Skills!E37="",Skills!E37=0),Skills!C37,Skills!E37&amp;": "&amp;Skills!F37)</f>
        <v xml:space="preserve">Melee: </v>
      </c>
      <c r="C37" s="87">
        <f ca="1">IF(Skills!H37="","",Skills!H37)</f>
        <v>0</v>
      </c>
      <c r="D37" s="79">
        <f ca="1">IF(Skills!G37="","",Skills!G37)</f>
        <v>-25</v>
      </c>
      <c r="E37" s="89" t="str">
        <f>IF(OR(Skills!E88="",Skills!E88=0),Skills!C88,Skills!E88&amp;": "&amp;Skills!F88)</f>
        <v xml:space="preserve">Open: </v>
      </c>
      <c r="F37" s="87">
        <f ca="1">IF(Skills!H88="","",Skills!H88)</f>
        <v>0</v>
      </c>
      <c r="G37" s="79">
        <f ca="1">IF(Skills!G88="","",Skills!G88)</f>
        <v>-9</v>
      </c>
      <c r="H37" s="776"/>
      <c r="I37" s="777"/>
      <c r="J37" s="778"/>
    </row>
    <row r="38" spans="2:10" ht="15.75" x14ac:dyDescent="0.25">
      <c r="B38" s="86" t="str">
        <f ca="1">IF(OR(Skills!E38="",Skills!E38=0),Skills!C38,Skills!E38&amp;": "&amp;Skills!F38)</f>
        <v xml:space="preserve">Melee: </v>
      </c>
      <c r="C38" s="87">
        <f ca="1">IF(Skills!H38="","",Skills!H38)</f>
        <v>0</v>
      </c>
      <c r="D38" s="79">
        <f ca="1">IF(Skills!G38="","",Skills!G38)</f>
        <v>-25</v>
      </c>
      <c r="E38" s="89" t="str">
        <f>IF(OR(Skills!E89="",Skills!E89=0),Skills!C89,Skills!E89&amp;": "&amp;Skills!F89)</f>
        <v xml:space="preserve">Open: </v>
      </c>
      <c r="F38" s="87">
        <f ca="1">IF(Skills!H89="","",Skills!H89)</f>
        <v>0</v>
      </c>
      <c r="G38" s="79">
        <f ca="1">IF(Skills!G89="","",Skills!G89)</f>
        <v>-9</v>
      </c>
      <c r="H38" s="776"/>
      <c r="I38" s="777"/>
      <c r="J38" s="778"/>
    </row>
    <row r="39" spans="2:10" ht="15.75" x14ac:dyDescent="0.25">
      <c r="B39" s="86" t="str">
        <f ca="1">IF(OR(Skills!E39="",Skills!E39=0),Skills!C39,Skills!E39&amp;": "&amp;Skills!F39)</f>
        <v xml:space="preserve">Missile: </v>
      </c>
      <c r="C39" s="87">
        <f ca="1">IF(Skills!H39="","",Skills!H39)</f>
        <v>0</v>
      </c>
      <c r="D39" s="79">
        <f ca="1">IF(Skills!G39="","",Skills!G39)</f>
        <v>-25</v>
      </c>
      <c r="E39" s="89" t="str">
        <f>IF(OR(Skills!E90="",Skills!E90=0),Skills!C90,Skills!E90&amp;": "&amp;Skills!F90)</f>
        <v xml:space="preserve">Open: </v>
      </c>
      <c r="F39" s="87">
        <f ca="1">IF(Skills!H90="","",Skills!H90)</f>
        <v>0</v>
      </c>
      <c r="G39" s="79">
        <f ca="1">IF(Skills!G90="","",Skills!G90)</f>
        <v>-9</v>
      </c>
      <c r="H39" s="776"/>
      <c r="I39" s="777"/>
      <c r="J39" s="778"/>
    </row>
    <row r="40" spans="2:10" ht="15.75" x14ac:dyDescent="0.25">
      <c r="B40" s="86" t="str">
        <f ca="1">IF(OR(Skills!E40="",Skills!E40=0),Skills!C40,Skills!E40&amp;": "&amp;Skills!F40)</f>
        <v xml:space="preserve">Missile: </v>
      </c>
      <c r="C40" s="87">
        <f ca="1">IF(Skills!H40="","",Skills!H40)</f>
        <v>0</v>
      </c>
      <c r="D40" s="79">
        <f ca="1">IF(Skills!G40="","",Skills!G40)</f>
        <v>-25</v>
      </c>
      <c r="E40" s="89" t="str">
        <f>IF(OR(Skills!E91="",Skills!E91=0),Skills!C91,Skills!E91&amp;": "&amp;Skills!F91)</f>
        <v xml:space="preserve">Open: </v>
      </c>
      <c r="F40" s="87">
        <f ca="1">IF(Skills!H91="","",Skills!H91)</f>
        <v>0</v>
      </c>
      <c r="G40" s="79">
        <f ca="1">IF(Skills!G91="","",Skills!G91)</f>
        <v>-9</v>
      </c>
      <c r="H40" s="776"/>
      <c r="I40" s="777"/>
      <c r="J40" s="778"/>
    </row>
    <row r="41" spans="2:10" ht="15.75" x14ac:dyDescent="0.25">
      <c r="B41" s="86" t="str">
        <f ca="1">IF(OR(Skills!E41="",Skills!E41=0),Skills!C41,Skills!E41&amp;": "&amp;Skills!F41)</f>
        <v xml:space="preserve">Thrown: </v>
      </c>
      <c r="C41" s="87">
        <f ca="1">IF(Skills!H41="","",Skills!H41)</f>
        <v>0</v>
      </c>
      <c r="D41" s="79">
        <f ca="1">IF(Skills!G41="","",Skills!G41)</f>
        <v>-25</v>
      </c>
      <c r="E41" s="89" t="str">
        <f>IF(OR(Skills!E92="",Skills!E92=0),Skills!C92,Skills!E92&amp;": "&amp;Skills!F92)</f>
        <v xml:space="preserve">Open: </v>
      </c>
      <c r="F41" s="87">
        <f ca="1">IF(Skills!H92="","",Skills!H92)</f>
        <v>0</v>
      </c>
      <c r="G41" s="79">
        <f ca="1">IF(Skills!G92="","",Skills!G92)</f>
        <v>-9</v>
      </c>
      <c r="H41" s="776"/>
      <c r="I41" s="777"/>
      <c r="J41" s="778"/>
    </row>
    <row r="42" spans="2:10" ht="15.75" x14ac:dyDescent="0.25">
      <c r="B42" s="86" t="str">
        <f ca="1">IF(OR(Skills!E42="",Skills!E42=0),Skills!C42,Skills!E42&amp;": "&amp;Skills!F42)</f>
        <v xml:space="preserve">Unarmed: </v>
      </c>
      <c r="C42" s="87">
        <f ca="1">IF(Skills!H42="","",Skills!H42)</f>
        <v>0</v>
      </c>
      <c r="D42" s="79">
        <f ca="1">IF(Skills!G42="","",Skills!G42)</f>
        <v>-25</v>
      </c>
      <c r="E42" s="89" t="str">
        <f>IF(OR(Skills!E93="",Skills!E93=0),Skills!C93,Skills!E93&amp;": "&amp;Skills!F93)</f>
        <v xml:space="preserve">Open: </v>
      </c>
      <c r="F42" s="87">
        <f ca="1">IF(Skills!H93="","",Skills!H93)</f>
        <v>0</v>
      </c>
      <c r="G42" s="79">
        <f ca="1">IF(Skills!G93="","",Skills!G93)</f>
        <v>-9</v>
      </c>
      <c r="H42" s="776"/>
      <c r="I42" s="777"/>
      <c r="J42" s="778"/>
    </row>
    <row r="43" spans="2:10" ht="15.75" x14ac:dyDescent="0.25">
      <c r="B43" s="88" t="str">
        <f ca="1">IF(OR(Skills!E43="",Skills!E43=0),Skills!C43,Skills!E43&amp;": "&amp;Skills!F43)</f>
        <v xml:space="preserve">Directed Spell:  </v>
      </c>
      <c r="C43" s="98">
        <f ca="1">IF(Skills!H43="","",Skills!H43)</f>
        <v>0</v>
      </c>
      <c r="D43" s="99">
        <f ca="1">IF(Skills!G43="","",Skills!G43)</f>
        <v>-17</v>
      </c>
      <c r="E43" s="89" t="str">
        <f>IF(OR(Skills!E94="",Skills!E94=0),Skills!C94,Skills!E94&amp;": "&amp;Skills!F94)</f>
        <v xml:space="preserve">Open: </v>
      </c>
      <c r="F43" s="87">
        <f ca="1">IF(Skills!H94="","",Skills!H94)</f>
        <v>0</v>
      </c>
      <c r="G43" s="79">
        <f ca="1">IF(Skills!G94="","",Skills!G94)</f>
        <v>-9</v>
      </c>
      <c r="H43" s="776"/>
      <c r="I43" s="777"/>
      <c r="J43" s="778"/>
    </row>
    <row r="44" spans="2:10" ht="18.75" x14ac:dyDescent="0.3">
      <c r="B44" s="782" t="str">
        <f>IF(OR(Skills!E44="",Skills!E44=0),Skills!C44,Skills!E44&amp;": "&amp;Skills!F44)</f>
        <v>Discipline</v>
      </c>
      <c r="C44" s="783"/>
      <c r="D44" s="784"/>
      <c r="E44" s="89" t="str">
        <f>IF(OR(Skills!E95="",Skills!E95=0),Skills!C95,Skills!E95&amp;": "&amp;Skills!F95)</f>
        <v xml:space="preserve">Open: </v>
      </c>
      <c r="F44" s="87">
        <f ca="1">IF(Skills!H95="","",Skills!H95)</f>
        <v>0</v>
      </c>
      <c r="G44" s="79">
        <f ca="1">IF(Skills!G95="","",Skills!G95)</f>
        <v>-9</v>
      </c>
      <c r="H44" s="776"/>
      <c r="I44" s="777"/>
      <c r="J44" s="778"/>
    </row>
    <row r="45" spans="2:10" ht="15.75" x14ac:dyDescent="0.25">
      <c r="B45" s="86" t="str">
        <f>IF(OR(Skills!E45="",Skills!E45=0),Skills!C45,Skills!E45&amp;": "&amp;Skills!F45)</f>
        <v>Body Discipline: Adrenal Focus</v>
      </c>
      <c r="C45" s="87">
        <f ca="1">IF(Skills!H45="","",Skills!H45)</f>
        <v>0</v>
      </c>
      <c r="D45" s="79">
        <f ca="1">IF(Skills!G45="","",Skills!G45)</f>
        <v>-25</v>
      </c>
      <c r="E45" s="89" t="str">
        <f>IF(OR(Skills!E96="",Skills!E96=0),Skills!C96,Skills!E96&amp;": "&amp;Skills!F96)</f>
        <v xml:space="preserve">Closed: </v>
      </c>
      <c r="F45" s="87">
        <f ca="1">IF(Skills!H96="","",Skills!H96)</f>
        <v>0</v>
      </c>
      <c r="G45" s="79">
        <f ca="1">IF(Skills!G96="","",Skills!G96)</f>
        <v>-9</v>
      </c>
      <c r="H45" s="776"/>
      <c r="I45" s="777"/>
      <c r="J45" s="778"/>
    </row>
    <row r="46" spans="2:10" ht="15.75" x14ac:dyDescent="0.25">
      <c r="B46" s="86" t="str">
        <f>IF(OR(Skills!E46="",Skills!E46=0),Skills!C46,Skills!E46&amp;": "&amp;Skills!F46)</f>
        <v>Body Discipline: Mind/Matter</v>
      </c>
      <c r="C46" s="87">
        <f ca="1">IF(Skills!H46="","",Skills!H46)</f>
        <v>0</v>
      </c>
      <c r="D46" s="79">
        <f ca="1">IF(Skills!G46="","",Skills!G46)</f>
        <v>-25</v>
      </c>
      <c r="E46" s="89" t="str">
        <f>IF(OR(Skills!E97="",Skills!E97=0),Skills!C97,Skills!E97&amp;": "&amp;Skills!F97)</f>
        <v xml:space="preserve">Closed: </v>
      </c>
      <c r="F46" s="87">
        <f ca="1">IF(Skills!H97="","",Skills!H97)</f>
        <v>0</v>
      </c>
      <c r="G46" s="79">
        <f ca="1">IF(Skills!G97="","",Skills!G97)</f>
        <v>-9</v>
      </c>
      <c r="H46" s="776"/>
      <c r="I46" s="777"/>
      <c r="J46" s="778"/>
    </row>
    <row r="47" spans="2:10" ht="15.75" x14ac:dyDescent="0.25">
      <c r="B47" s="88" t="str">
        <f>IF(OR(Skills!E47="",Skills!E47=0),Skills!C47,Skills!E47&amp;": "&amp;Skills!F47)</f>
        <v>Mental Discipline: Meditation</v>
      </c>
      <c r="C47" s="98">
        <f ca="1">IF(Skills!H47="","",Skills!H47)</f>
        <v>0</v>
      </c>
      <c r="D47" s="99">
        <f ca="1">IF(Skills!G47="","",Skills!G47)</f>
        <v>-25</v>
      </c>
      <c r="E47" s="89" t="str">
        <f>IF(OR(Skills!E98="",Skills!E98=0),Skills!C98,Skills!E98&amp;": "&amp;Skills!F98)</f>
        <v xml:space="preserve">Closed: </v>
      </c>
      <c r="F47" s="87">
        <f ca="1">IF(Skills!H98="","",Skills!H98)</f>
        <v>0</v>
      </c>
      <c r="G47" s="79">
        <f ca="1">IF(Skills!G98="","",Skills!G98)</f>
        <v>-9</v>
      </c>
      <c r="H47" s="776"/>
      <c r="I47" s="777"/>
      <c r="J47" s="778"/>
    </row>
    <row r="48" spans="2:10" ht="18.75" x14ac:dyDescent="0.3">
      <c r="B48" s="782" t="str">
        <f>IF(OR(Skills!E48="",Skills!E48=0),Skills!C48,Skills!E48&amp;": "&amp;Skills!F48)</f>
        <v>Magical</v>
      </c>
      <c r="C48" s="783"/>
      <c r="D48" s="784"/>
      <c r="E48" s="89" t="str">
        <f>IF(OR(Skills!E99="",Skills!E99=0),Skills!C99,Skills!E99&amp;": "&amp;Skills!F99)</f>
        <v xml:space="preserve">Closed: </v>
      </c>
      <c r="F48" s="87">
        <f ca="1">IF(Skills!H99="","",Skills!H99)</f>
        <v>0</v>
      </c>
      <c r="G48" s="79">
        <f ca="1">IF(Skills!G99="","",Skills!G99)</f>
        <v>-9</v>
      </c>
      <c r="H48" s="776"/>
      <c r="I48" s="777"/>
      <c r="J48" s="778"/>
    </row>
    <row r="49" spans="2:10" ht="15.75" x14ac:dyDescent="0.25">
      <c r="B49" s="86" t="str">
        <f>IF(OR(Skills!E49="",Skills!E49=0),Skills!C49,Skills!E49&amp;": "&amp;Skills!F49)</f>
        <v>Delving: Attunement</v>
      </c>
      <c r="C49" s="87">
        <f ca="1">IF(Skills!H49="","",Skills!H49)</f>
        <v>0</v>
      </c>
      <c r="D49" s="79">
        <f ca="1">IF(Skills!G49="","",Skills!G49)</f>
        <v>-17</v>
      </c>
      <c r="E49" s="89" t="str">
        <f>IF(OR(Skills!E100="",Skills!E100=0),Skills!C100,Skills!E100&amp;": "&amp;Skills!F100)</f>
        <v xml:space="preserve">Closed: </v>
      </c>
      <c r="F49" s="87">
        <f ca="1">IF(Skills!H100="","",Skills!H100)</f>
        <v>0</v>
      </c>
      <c r="G49" s="79">
        <f ca="1">IF(Skills!G100="","",Skills!G100)</f>
        <v>-9</v>
      </c>
      <c r="H49" s="776"/>
      <c r="I49" s="777"/>
      <c r="J49" s="778"/>
    </row>
    <row r="50" spans="2:10" ht="15.75" x14ac:dyDescent="0.25">
      <c r="B50" s="86" t="str">
        <f>IF(OR(Skills!E50="",Skills!E50=0),Skills!C50,Skills!E50&amp;": "&amp;Skills!F50)</f>
        <v>Delving: Runes</v>
      </c>
      <c r="C50" s="87">
        <f ca="1">IF(Skills!H50="","",Skills!H50)</f>
        <v>0</v>
      </c>
      <c r="D50" s="79">
        <f ca="1">IF(Skills!G50="","",Skills!G50)</f>
        <v>-17</v>
      </c>
      <c r="E50" s="89" t="str">
        <f>IF(OR(Skills!E101="",Skills!E101=0),Skills!C101,Skills!E101&amp;": "&amp;Skills!F101)</f>
        <v xml:space="preserve">Closed: </v>
      </c>
      <c r="F50" s="87">
        <f ca="1">IF(Skills!H101="","",Skills!H101)</f>
        <v>0</v>
      </c>
      <c r="G50" s="79">
        <f ca="1">IF(Skills!G101="","",Skills!G101)</f>
        <v>-9</v>
      </c>
      <c r="H50" s="776"/>
      <c r="I50" s="777"/>
      <c r="J50" s="778"/>
    </row>
    <row r="51" spans="2:10" ht="15.75" x14ac:dyDescent="0.25">
      <c r="B51" s="86" t="str">
        <f>IF(OR(Skills!E51="",Skills!E51=0),Skills!C51,Skills!E51&amp;": "&amp;Skills!F51)</f>
        <v>Magical Expertise: Grace</v>
      </c>
      <c r="C51" s="87">
        <f ca="1">IF(Skills!H51="","",Skills!H51)</f>
        <v>0</v>
      </c>
      <c r="D51" s="79">
        <f ca="1">IF(Skills!G51="","",Skills!G51)</f>
        <v>0</v>
      </c>
      <c r="E51" s="89" t="str">
        <f>IF(OR(Skills!E102="",Skills!E102=0),Skills!C102,Skills!E102&amp;": "&amp;Skills!F102)</f>
        <v xml:space="preserve">Restricted: </v>
      </c>
      <c r="F51" s="87">
        <f ca="1">IF(Skills!H102="","",Skills!H102)</f>
        <v>0</v>
      </c>
      <c r="G51" s="79">
        <f ca="1">IF(Skills!G102="","",Skills!G102)</f>
        <v>-9</v>
      </c>
      <c r="H51" s="776"/>
      <c r="I51" s="777"/>
      <c r="J51" s="778"/>
    </row>
    <row r="52" spans="2:10" ht="15.75" x14ac:dyDescent="0.25">
      <c r="B52" s="86" t="str">
        <f>IF(OR(Skills!E52="",Skills!E52=0),Skills!C52,Skills!E52&amp;": "&amp;Skills!F52)</f>
        <v>Magical Expertise: Spell Trickery</v>
      </c>
      <c r="C52" s="87">
        <f ca="1">IF(Skills!H52="","",Skills!H52)</f>
        <v>0</v>
      </c>
      <c r="D52" s="79">
        <f ca="1">IF(Skills!G52="","",Skills!G52)</f>
        <v>0</v>
      </c>
      <c r="E52" s="89" t="str">
        <f>IF(OR(Skills!E103="",Skills!E103=0),Skills!C103,Skills!E103&amp;": "&amp;Skills!F103)</f>
        <v xml:space="preserve">Restricted: </v>
      </c>
      <c r="F52" s="87">
        <f ca="1">IF(Skills!H103="","",Skills!H103)</f>
        <v>0</v>
      </c>
      <c r="G52" s="79">
        <f ca="1">IF(Skills!G103="","",Skills!G103)</f>
        <v>-9</v>
      </c>
      <c r="H52" s="776"/>
      <c r="I52" s="777"/>
      <c r="J52" s="778"/>
    </row>
    <row r="53" spans="2:10" ht="18.75" x14ac:dyDescent="0.3">
      <c r="B53" s="86" t="str">
        <f>IF(OR(Skills!E53="",Skills!E53=0),Skills!C53,Skills!E53&amp;": "&amp;Skills!F53)</f>
        <v>Magical Expertise: Transcendence</v>
      </c>
      <c r="C53" s="87">
        <f ca="1">IF(Skills!H53="","",Skills!H53)</f>
        <v>0</v>
      </c>
      <c r="D53" s="79">
        <f ca="1">IF(Skills!G53="","",Skills!G53)</f>
        <v>0</v>
      </c>
      <c r="E53" s="78"/>
      <c r="F53" s="72"/>
      <c r="G53" s="79"/>
      <c r="H53" s="776"/>
      <c r="I53" s="777"/>
      <c r="J53" s="778"/>
    </row>
    <row r="54" spans="2:10" ht="16.5" thickBot="1" x14ac:dyDescent="0.3">
      <c r="B54" s="91" t="str">
        <f>IF(OR(Skills!E54="",Skills!E54=0),Skills!C54,Skills!E54&amp;": "&amp;Skills!F54)</f>
        <v xml:space="preserve">Power Manip.: </v>
      </c>
      <c r="C54" s="92">
        <f ca="1">IF(Skills!H54="","",Skills!H54)</f>
        <v>0</v>
      </c>
      <c r="D54" s="80">
        <f ca="1">IF(Skills!G54="","",Skills!G54)</f>
        <v>-17</v>
      </c>
      <c r="E54" s="76"/>
      <c r="F54" s="75"/>
      <c r="G54" s="80"/>
      <c r="H54" s="779"/>
      <c r="I54" s="780"/>
      <c r="J54" s="781"/>
    </row>
    <row r="55" spans="2:10" x14ac:dyDescent="0.25">
      <c r="B55" s="73"/>
      <c r="C55" s="72"/>
      <c r="D55" s="72"/>
      <c r="E55" s="73"/>
      <c r="F55" s="72"/>
      <c r="G55" s="72"/>
      <c r="H55" s="73"/>
      <c r="I55" s="72"/>
      <c r="J55" s="72"/>
    </row>
    <row r="56" spans="2:10" x14ac:dyDescent="0.25">
      <c r="B56" s="73"/>
      <c r="C56" s="72"/>
      <c r="D56" s="72"/>
      <c r="E56" s="73"/>
      <c r="F56" s="72"/>
      <c r="G56" s="72"/>
      <c r="H56" s="73"/>
      <c r="I56" s="72"/>
      <c r="J56" s="72"/>
    </row>
    <row r="57" spans="2:10" x14ac:dyDescent="0.25">
      <c r="B57" s="73"/>
      <c r="C57" s="72"/>
      <c r="D57" s="72"/>
      <c r="E57" s="73"/>
      <c r="F57" s="72"/>
      <c r="G57" s="72"/>
      <c r="H57" s="73"/>
      <c r="I57" s="72"/>
      <c r="J57" s="72"/>
    </row>
    <row r="58" spans="2:10" x14ac:dyDescent="0.25">
      <c r="B58" s="73"/>
      <c r="C58" s="72"/>
      <c r="D58" s="72"/>
      <c r="E58" s="73"/>
      <c r="F58" s="72"/>
      <c r="G58" s="72"/>
      <c r="H58" s="73"/>
      <c r="I58" s="72"/>
      <c r="J58" s="72"/>
    </row>
    <row r="59" spans="2:10" x14ac:dyDescent="0.25">
      <c r="B59" s="73"/>
      <c r="C59" s="72"/>
      <c r="D59" s="72"/>
      <c r="E59" s="73"/>
      <c r="F59" s="72"/>
      <c r="G59" s="72"/>
      <c r="H59" s="73"/>
      <c r="I59" s="72"/>
      <c r="J59" s="72"/>
    </row>
    <row r="60" spans="2:10" x14ac:dyDescent="0.25">
      <c r="B60" s="73"/>
      <c r="C60" s="72"/>
      <c r="D60" s="72"/>
      <c r="E60" s="73"/>
      <c r="F60" s="72"/>
      <c r="G60" s="72"/>
      <c r="H60" s="73"/>
      <c r="I60" s="72"/>
      <c r="J60" s="72"/>
    </row>
    <row r="61" spans="2:10" x14ac:dyDescent="0.25">
      <c r="B61" s="73"/>
      <c r="C61" s="72"/>
      <c r="D61" s="72"/>
      <c r="E61" s="73"/>
      <c r="F61" s="72"/>
      <c r="G61" s="72"/>
      <c r="H61" s="73"/>
      <c r="I61" s="72"/>
      <c r="J61" s="72"/>
    </row>
    <row r="62" spans="2:10" x14ac:dyDescent="0.25">
      <c r="B62" s="73"/>
      <c r="C62" s="72"/>
      <c r="D62" s="72"/>
      <c r="E62" s="73"/>
      <c r="F62" s="72"/>
      <c r="G62" s="72"/>
      <c r="H62" s="73"/>
      <c r="I62" s="72"/>
      <c r="J62" s="72"/>
    </row>
    <row r="63" spans="2:10" x14ac:dyDescent="0.25">
      <c r="B63" s="73"/>
      <c r="C63" s="72"/>
      <c r="D63" s="72"/>
      <c r="E63" s="73"/>
      <c r="F63" s="72"/>
      <c r="G63" s="72"/>
      <c r="H63" s="73"/>
      <c r="I63" s="72"/>
      <c r="J63" s="72"/>
    </row>
    <row r="64" spans="2:10" x14ac:dyDescent="0.25">
      <c r="B64" s="73"/>
      <c r="C64" s="72"/>
      <c r="D64" s="72"/>
      <c r="E64" s="73"/>
      <c r="F64" s="72"/>
      <c r="G64" s="72"/>
      <c r="H64" s="73"/>
      <c r="I64" s="72"/>
      <c r="J64" s="72"/>
    </row>
  </sheetData>
  <mergeCells count="42">
    <mergeCell ref="B2:D2"/>
    <mergeCell ref="E2:G2"/>
    <mergeCell ref="H2:J2"/>
    <mergeCell ref="H10:J10"/>
    <mergeCell ref="H4:J4"/>
    <mergeCell ref="E4:G4"/>
    <mergeCell ref="B4:D4"/>
    <mergeCell ref="E12:G12"/>
    <mergeCell ref="E17:G17"/>
    <mergeCell ref="B18:D18"/>
    <mergeCell ref="B28:D28"/>
    <mergeCell ref="E24:G24"/>
    <mergeCell ref="B44:D44"/>
    <mergeCell ref="B48:D48"/>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51:J51"/>
    <mergeCell ref="H52:J52"/>
    <mergeCell ref="H53:J53"/>
    <mergeCell ref="H54:J54"/>
    <mergeCell ref="H46:J46"/>
    <mergeCell ref="H47:J47"/>
    <mergeCell ref="H48:J48"/>
    <mergeCell ref="H49:J49"/>
    <mergeCell ref="H50:J50"/>
  </mergeCells>
  <conditionalFormatting sqref="C5:C17">
    <cfRule type="cellIs" dxfId="21" priority="14" operator="greaterThan">
      <formula>0</formula>
    </cfRule>
  </conditionalFormatting>
  <conditionalFormatting sqref="D5">
    <cfRule type="cellIs" dxfId="20" priority="13" operator="greaterThan">
      <formula>0</formula>
    </cfRule>
  </conditionalFormatting>
  <conditionalFormatting sqref="D5:D17">
    <cfRule type="cellIs" dxfId="19" priority="12" operator="greaterThan">
      <formula>0</formula>
    </cfRule>
  </conditionalFormatting>
  <conditionalFormatting sqref="C19:D27">
    <cfRule type="cellIs" dxfId="18" priority="11" operator="greaterThan">
      <formula>0</formula>
    </cfRule>
  </conditionalFormatting>
  <conditionalFormatting sqref="C29:D43">
    <cfRule type="cellIs" dxfId="17" priority="10" operator="greaterThan">
      <formula>0</formula>
    </cfRule>
  </conditionalFormatting>
  <conditionalFormatting sqref="C45:D47">
    <cfRule type="cellIs" dxfId="16" priority="9" operator="greaterThan">
      <formula>0</formula>
    </cfRule>
  </conditionalFormatting>
  <conditionalFormatting sqref="C49:D54">
    <cfRule type="cellIs" dxfId="15" priority="8" operator="greaterThan">
      <formula>0</formula>
    </cfRule>
  </conditionalFormatting>
  <conditionalFormatting sqref="F25:G52">
    <cfRule type="cellIs" dxfId="14" priority="7" operator="greaterThan">
      <formula>0</formula>
    </cfRule>
  </conditionalFormatting>
  <conditionalFormatting sqref="I11:J26">
    <cfRule type="cellIs" dxfId="13" priority="6" operator="greaterThan">
      <formula>0</formula>
    </cfRule>
  </conditionalFormatting>
  <conditionalFormatting sqref="I5:J9">
    <cfRule type="cellIs" dxfId="12" priority="5" operator="greaterThan">
      <formula>0</formula>
    </cfRule>
  </conditionalFormatting>
  <conditionalFormatting sqref="F5:G11">
    <cfRule type="cellIs" dxfId="11" priority="4" operator="greaterThan">
      <formula>0</formula>
    </cfRule>
  </conditionalFormatting>
  <conditionalFormatting sqref="F13:G16">
    <cfRule type="cellIs" dxfId="10" priority="3" operator="greaterThan">
      <formula>0</formula>
    </cfRule>
  </conditionalFormatting>
  <conditionalFormatting sqref="F18:G23">
    <cfRule type="cellIs" dxfId="9" priority="2" operator="greaterThan">
      <formula>0</formula>
    </cfRule>
  </conditionalFormatting>
  <pageMargins left="0.7" right="0.7" top="0.75" bottom="0.75" header="0.3" footer="0.3"/>
  <pageSetup scale="78"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7"/>
  <sheetViews>
    <sheetView showGridLines="0" tabSelected="1" zoomScale="115" zoomScaleNormal="115" workbookViewId="0">
      <selection activeCell="P4" sqref="P4:U4"/>
    </sheetView>
  </sheetViews>
  <sheetFormatPr defaultRowHeight="15" x14ac:dyDescent="0.25"/>
  <cols>
    <col min="1" max="1" width="3.42578125" style="342" customWidth="1"/>
    <col min="2" max="2" width="28.85546875" style="342" bestFit="1" customWidth="1"/>
    <col min="3" max="3" width="6.140625" style="342" bestFit="1" customWidth="1"/>
    <col min="4" max="5" width="6.140625" style="342" customWidth="1"/>
    <col min="6" max="6" width="2.85546875" style="342" customWidth="1"/>
    <col min="7" max="7" width="13" style="342" customWidth="1"/>
    <col min="8" max="8" width="9" style="342" customWidth="1"/>
    <col min="9" max="13" width="6" style="342" customWidth="1"/>
    <col min="14" max="14" width="9.140625" style="342"/>
    <col min="15" max="15" width="11.28515625" style="342" customWidth="1"/>
    <col min="16" max="16" width="9.140625" style="342"/>
    <col min="17" max="19" width="4.7109375" style="342" bestFit="1" customWidth="1"/>
    <col min="20" max="20" width="4.85546875" style="342" bestFit="1" customWidth="1"/>
    <col min="21" max="21" width="3.7109375" style="342" bestFit="1" customWidth="1"/>
    <col min="22" max="16384" width="9.140625" style="342"/>
  </cols>
  <sheetData>
    <row r="1" spans="2:21" ht="15.75" thickBot="1" x14ac:dyDescent="0.3"/>
    <row r="2" spans="2:21" ht="18.75" x14ac:dyDescent="0.3">
      <c r="B2" s="824" t="str">
        <f>"Spell Summary Sheet For: "&amp;CharName</f>
        <v xml:space="preserve">Spell Summary Sheet For: </v>
      </c>
      <c r="C2" s="825"/>
      <c r="D2" s="825"/>
      <c r="E2" s="825"/>
      <c r="F2" s="825"/>
      <c r="G2" s="385"/>
      <c r="H2" s="395"/>
      <c r="I2" s="385"/>
      <c r="J2" s="385"/>
      <c r="K2" s="800" t="str">
        <f>"Level: " &amp; Level</f>
        <v>Level: 1</v>
      </c>
      <c r="L2" s="800"/>
      <c r="M2" s="801"/>
    </row>
    <row r="3" spans="2:21" ht="6.75" customHeight="1" thickBot="1" x14ac:dyDescent="0.35">
      <c r="B3" s="826"/>
      <c r="C3" s="827"/>
      <c r="D3" s="827"/>
      <c r="E3" s="827"/>
      <c r="F3" s="827"/>
      <c r="G3" s="78"/>
      <c r="H3" s="78"/>
      <c r="I3" s="309"/>
      <c r="J3" s="309"/>
      <c r="K3" s="802"/>
      <c r="L3" s="802"/>
      <c r="M3" s="803"/>
    </row>
    <row r="4" spans="2:21" ht="15.75" x14ac:dyDescent="0.25">
      <c r="B4" s="396" t="s">
        <v>294</v>
      </c>
      <c r="C4" s="345" t="s">
        <v>61</v>
      </c>
      <c r="D4" s="345" t="s">
        <v>295</v>
      </c>
      <c r="E4" s="397" t="s">
        <v>296</v>
      </c>
      <c r="F4" s="341"/>
      <c r="G4" s="851" t="str">
        <f ca="1">"Magical Expertise: Grace  " &amp; IF(Grace &gt; 0, "+"&amp; Grace, Grace)</f>
        <v>Magical Expertise: Grace  0</v>
      </c>
      <c r="H4" s="852"/>
      <c r="I4" s="852"/>
      <c r="J4" s="852"/>
      <c r="K4" s="852"/>
      <c r="L4" s="852"/>
      <c r="M4" s="853"/>
      <c r="O4" s="948" t="s">
        <v>917</v>
      </c>
      <c r="P4" s="949" t="s">
        <v>919</v>
      </c>
      <c r="Q4" s="950"/>
      <c r="R4" s="950"/>
      <c r="S4" s="950"/>
      <c r="T4" s="950"/>
      <c r="U4" s="951"/>
    </row>
    <row r="5" spans="2:21" x14ac:dyDescent="0.25">
      <c r="B5" s="96" t="str">
        <f>IF(Skills!E82="",Skills!C82,Skills!E82&amp;": "&amp;Skills!F82)</f>
        <v>Base: Spirit Mastery</v>
      </c>
      <c r="C5" s="72">
        <f ca="1">IF(Skills!H82="","",Skills!H82)</f>
        <v>1</v>
      </c>
      <c r="D5" s="72">
        <f ca="1">IF(Skills!G82="","",Skills!G82)</f>
        <v>21</v>
      </c>
      <c r="E5" s="74">
        <f ca="1">100+Skills!H82+VLOOKUP("RS",StatBonuses,2,FALSE)</f>
        <v>109</v>
      </c>
      <c r="F5" s="72"/>
      <c r="G5" s="859" t="s">
        <v>297</v>
      </c>
      <c r="H5" s="860" t="s">
        <v>298</v>
      </c>
      <c r="I5" s="861" t="s">
        <v>299</v>
      </c>
      <c r="J5" s="862"/>
      <c r="K5" s="862"/>
      <c r="L5" s="862"/>
      <c r="M5" s="863"/>
      <c r="O5" s="859" t="s">
        <v>297</v>
      </c>
      <c r="P5" s="860" t="s">
        <v>298</v>
      </c>
      <c r="Q5" s="861" t="s">
        <v>299</v>
      </c>
      <c r="R5" s="862"/>
      <c r="S5" s="862"/>
      <c r="T5" s="862"/>
      <c r="U5" s="863"/>
    </row>
    <row r="6" spans="2:21" ht="15.75" customHeight="1" x14ac:dyDescent="0.25">
      <c r="B6" s="96" t="str">
        <f>IF(Skills!E83="",Skills!C83,Skills!E83&amp;": "&amp;Skills!F83)</f>
        <v xml:space="preserve">Base: </v>
      </c>
      <c r="C6" s="72">
        <f ca="1">IF(Skills!H83="","",Skills!H83)</f>
        <v>0</v>
      </c>
      <c r="D6" s="72">
        <f ca="1">IF(Skills!G83="","",Skills!G83)</f>
        <v>-9</v>
      </c>
      <c r="E6" s="74">
        <f ca="1">100+Skills!H83+VLOOKUP("RS",StatBonuses,2,FALSE)</f>
        <v>108</v>
      </c>
      <c r="F6" s="72"/>
      <c r="G6" s="859"/>
      <c r="H6" s="860"/>
      <c r="I6" s="864"/>
      <c r="J6" s="865"/>
      <c r="K6" s="865"/>
      <c r="L6" s="865"/>
      <c r="M6" s="866"/>
      <c r="O6" s="859"/>
      <c r="P6" s="860"/>
      <c r="Q6" s="864"/>
      <c r="R6" s="865"/>
      <c r="S6" s="865"/>
      <c r="T6" s="865"/>
      <c r="U6" s="866"/>
    </row>
    <row r="7" spans="2:21" ht="15.75" customHeight="1" x14ac:dyDescent="0.25">
      <c r="B7" s="96" t="str">
        <f>IF(Skills!E84="",Skills!C84,Skills!E84&amp;": "&amp;Skills!F84)</f>
        <v xml:space="preserve">Base: </v>
      </c>
      <c r="C7" s="72">
        <f ca="1">IF(Skills!H84="","",Skills!H84)</f>
        <v>0</v>
      </c>
      <c r="D7" s="72">
        <f ca="1">IF(Skills!G84="","",Skills!G84)</f>
        <v>-9</v>
      </c>
      <c r="E7" s="74">
        <f ca="1">100+Skills!H84+VLOOKUP("RS",StatBonuses,2,FALSE)</f>
        <v>108</v>
      </c>
      <c r="F7" s="72"/>
      <c r="G7" s="859"/>
      <c r="H7" s="860"/>
      <c r="I7" s="867">
        <v>0</v>
      </c>
      <c r="J7" s="867">
        <v>1</v>
      </c>
      <c r="K7" s="867">
        <v>2</v>
      </c>
      <c r="L7" s="869" t="s">
        <v>300</v>
      </c>
      <c r="M7" s="855">
        <v>5</v>
      </c>
      <c r="O7" s="859"/>
      <c r="P7" s="860"/>
      <c r="Q7" s="867">
        <v>0</v>
      </c>
      <c r="R7" s="867">
        <v>1</v>
      </c>
      <c r="S7" s="867">
        <v>2</v>
      </c>
      <c r="T7" s="869" t="s">
        <v>300</v>
      </c>
      <c r="U7" s="855">
        <v>5</v>
      </c>
    </row>
    <row r="8" spans="2:21" x14ac:dyDescent="0.25">
      <c r="B8" s="96" t="str">
        <f>IF(Skills!E85="",Skills!C85,Skills!E85&amp;": "&amp;Skills!F85)</f>
        <v xml:space="preserve">Base: </v>
      </c>
      <c r="C8" s="72">
        <f ca="1">IF(Skills!H85="","",Skills!H85)</f>
        <v>0</v>
      </c>
      <c r="D8" s="72">
        <f ca="1">IF(Skills!G85="","",Skills!G85)</f>
        <v>-9</v>
      </c>
      <c r="E8" s="74">
        <f ca="1">100+Skills!H85+VLOOKUP("RS",StatBonuses,2,FALSE)</f>
        <v>108</v>
      </c>
      <c r="F8" s="72"/>
      <c r="G8" s="859"/>
      <c r="H8" s="860"/>
      <c r="I8" s="868"/>
      <c r="J8" s="868"/>
      <c r="K8" s="868"/>
      <c r="L8" s="868"/>
      <c r="M8" s="856"/>
      <c r="O8" s="859"/>
      <c r="P8" s="860"/>
      <c r="Q8" s="868"/>
      <c r="R8" s="868"/>
      <c r="S8" s="868"/>
      <c r="T8" s="868"/>
      <c r="U8" s="856"/>
    </row>
    <row r="9" spans="2:21" x14ac:dyDescent="0.25">
      <c r="B9" s="96" t="str">
        <f>IF(Skills!E86="",Skills!C86,Skills!E86&amp;": "&amp;Skills!F86)</f>
        <v xml:space="preserve">Base: </v>
      </c>
      <c r="C9" s="72">
        <f ca="1">IF(Skills!H86="","",Skills!H86)</f>
        <v>0</v>
      </c>
      <c r="D9" s="72">
        <f ca="1">IF(Skills!G86="","",Skills!G86)</f>
        <v>-9</v>
      </c>
      <c r="E9" s="74">
        <f ca="1">100+Skills!H86+VLOOKUP("RS",StatBonuses,2,FALSE)</f>
        <v>108</v>
      </c>
      <c r="F9" s="72"/>
      <c r="G9" s="398" t="str">
        <f>IF(G10="n/a","n/a",IF(G10-1&gt;0,IF(G10-1&gt;1,G10-1&amp;" or Less",G10-1),"n/a"))</f>
        <v>n/a</v>
      </c>
      <c r="H9" s="93">
        <f>IF(Tables!Y4&gt;=0,Tables!Y4,MIN(0,Tables!Y4+MAX(Grace,0)))</f>
        <v>10</v>
      </c>
      <c r="I9" s="94">
        <f>IF(Tables!T4&gt;=0,Tables!T4,MIN(0,Tables!T4+MAX(Grace,0)))</f>
        <v>0</v>
      </c>
      <c r="J9" s="94">
        <f>IF(Tables!U4&gt;=0,Tables!U4,MIN(0,Tables!U4+MAX(Grace,0)))</f>
        <v>5</v>
      </c>
      <c r="K9" s="94">
        <f>IF(Tables!V4&gt;=0,Tables!V4,MIN(0,Tables!V4+MAX(Grace,0)))</f>
        <v>10</v>
      </c>
      <c r="L9" s="94">
        <f>IF(Tables!W4&gt;=0,Tables!W4,MIN(0,Tables!W4+MAX(Grace,0)))</f>
        <v>15</v>
      </c>
      <c r="M9" s="94">
        <f>IF(Tables!X4&gt;=0,Tables!X4,MIN(0,Tables!X4+MAX(Grace,0)))</f>
        <v>20</v>
      </c>
      <c r="O9" s="398" t="str">
        <f>G9</f>
        <v>n/a</v>
      </c>
      <c r="P9" s="93">
        <f ca="1">H9+VLOOKUP($P$4,SpellListSummary,4,FALSE)</f>
        <v>119</v>
      </c>
      <c r="Q9" s="94">
        <f ca="1">I9+VLOOKUP($P$4,SpellListSummary,4,FALSE)</f>
        <v>109</v>
      </c>
      <c r="R9" s="94">
        <f ca="1">J9+VLOOKUP($P$4,SpellListSummary,4,FALSE)</f>
        <v>114</v>
      </c>
      <c r="S9" s="94">
        <f ca="1">K9+VLOOKUP($P$4,SpellListSummary,4,FALSE)</f>
        <v>119</v>
      </c>
      <c r="T9" s="94">
        <f ca="1">L9+VLOOKUP($P$4,SpellListSummary,4,FALSE)</f>
        <v>124</v>
      </c>
      <c r="U9" s="94">
        <f ca="1">M9+VLOOKUP($P$4,SpellListSummary,4,FALSE)</f>
        <v>129</v>
      </c>
    </row>
    <row r="10" spans="2:21" x14ac:dyDescent="0.25">
      <c r="B10" s="96" t="str">
        <f>IF(Skills!E87="",Skills!C87,Skills!E87&amp;": "&amp;Skills!F87)</f>
        <v xml:space="preserve">Base: </v>
      </c>
      <c r="C10" s="72">
        <f ca="1">IF(Skills!H87="","",Skills!H87)</f>
        <v>0</v>
      </c>
      <c r="D10" s="72">
        <f ca="1">IF(Skills!G87="","",Skills!G87)</f>
        <v>-9</v>
      </c>
      <c r="E10" s="74">
        <f ca="1">100+Skills!H87+VLOOKUP("RS",StatBonuses,2,FALSE)</f>
        <v>108</v>
      </c>
      <c r="F10" s="72"/>
      <c r="G10" s="398" t="str">
        <f>IF(G11="n/a","n/a",IF(G11-1&gt;0,G11-1,"n/a"))</f>
        <v>n/a</v>
      </c>
      <c r="H10" s="93">
        <f>IF(Tables!Y5&gt;=0,Tables!Y5,MIN(0,Tables!Y5+MAX(Grace,0)))</f>
        <v>5</v>
      </c>
      <c r="I10" s="94">
        <f ca="1">IF(Tables!T5&gt;=0,Tables!T5,MIN(0,Tables!T5+MAX(Grace,0)))</f>
        <v>-10</v>
      </c>
      <c r="J10" s="94">
        <f>IF(Tables!U5&gt;=0,Tables!U5,MIN(0,Tables!U5+MAX(Grace,0)))</f>
        <v>0</v>
      </c>
      <c r="K10" s="94">
        <f>IF(Tables!V5&gt;=0,Tables!V5,MIN(0,Tables!V5+MAX(Grace,0)))</f>
        <v>5</v>
      </c>
      <c r="L10" s="94">
        <f>IF(Tables!W5&gt;=0,Tables!W5,MIN(0,Tables!W5+MAX(Grace,0)))</f>
        <v>10</v>
      </c>
      <c r="M10" s="94">
        <f>IF(Tables!X5&gt;=0,Tables!X5,MIN(0,Tables!X5+MAX(Grace,0)))</f>
        <v>15</v>
      </c>
      <c r="O10" s="398" t="str">
        <f t="shared" ref="O10:O20" si="0">G10</f>
        <v>n/a</v>
      </c>
      <c r="P10" s="93">
        <f ca="1">H10+VLOOKUP($P$4,SpellListSummary,4,FALSE)</f>
        <v>114</v>
      </c>
      <c r="Q10" s="94">
        <f ca="1">I10+VLOOKUP($P$4,SpellListSummary,4,FALSE)</f>
        <v>99</v>
      </c>
      <c r="R10" s="94">
        <f ca="1">J10+VLOOKUP($P$4,SpellListSummary,4,FALSE)</f>
        <v>109</v>
      </c>
      <c r="S10" s="94">
        <f ca="1">K10+VLOOKUP($P$4,SpellListSummary,4,FALSE)</f>
        <v>114</v>
      </c>
      <c r="T10" s="94">
        <f ca="1">L10+VLOOKUP($P$4,SpellListSummary,4,FALSE)</f>
        <v>119</v>
      </c>
      <c r="U10" s="94">
        <f ca="1">M10+VLOOKUP($P$4,SpellListSummary,4,FALSE)</f>
        <v>124</v>
      </c>
    </row>
    <row r="11" spans="2:21" x14ac:dyDescent="0.25">
      <c r="B11" s="96" t="str">
        <f>IF(Skills!E88="",Skills!C88,Skills!E88&amp;": "&amp;Skills!F88)</f>
        <v xml:space="preserve">Open: </v>
      </c>
      <c r="C11" s="72">
        <f ca="1">IF(Skills!H88="","",Skills!H88)</f>
        <v>0</v>
      </c>
      <c r="D11" s="72">
        <f ca="1">IF(Skills!G88="","",Skills!G88)</f>
        <v>-9</v>
      </c>
      <c r="E11" s="74">
        <f ca="1">100+Skills!H88+VLOOKUP("RS",StatBonuses,2,FALSE)</f>
        <v>108</v>
      </c>
      <c r="F11" s="72"/>
      <c r="G11" s="398" t="str">
        <f>IF(G12="n/a","n/a",IF(G12-1&gt;0,G12-1,"n/a"))</f>
        <v>n/a</v>
      </c>
      <c r="H11" s="93">
        <f>IF(Tables!Y6&gt;=0,Tables!Y6,MIN(0,Tables!Y6+MAX(Grace,0)))</f>
        <v>5</v>
      </c>
      <c r="I11" s="94">
        <f ca="1">IF(Tables!T6&gt;=0,Tables!T6,MIN(0,Tables!T6+MAX(Grace,0)))</f>
        <v>-20</v>
      </c>
      <c r="J11" s="94">
        <f>IF(Tables!U6&gt;=0,Tables!U6,MIN(0,Tables!U6+MAX(Grace,0)))</f>
        <v>0</v>
      </c>
      <c r="K11" s="94">
        <f>IF(Tables!V6&gt;=0,Tables!V6,MIN(0,Tables!V6+MAX(Grace,0)))</f>
        <v>5</v>
      </c>
      <c r="L11" s="94">
        <f>IF(Tables!W6&gt;=0,Tables!W6,MIN(0,Tables!W6+MAX(Grace,0)))</f>
        <v>10</v>
      </c>
      <c r="M11" s="94">
        <f>IF(Tables!X6&gt;=0,Tables!X6,MIN(0,Tables!X6+MAX(Grace,0)))</f>
        <v>15</v>
      </c>
      <c r="O11" s="398" t="str">
        <f t="shared" si="0"/>
        <v>n/a</v>
      </c>
      <c r="P11" s="93">
        <f ca="1">H11+VLOOKUP($P$4,SpellListSummary,4,FALSE)</f>
        <v>114</v>
      </c>
      <c r="Q11" s="94">
        <f ca="1">I11+VLOOKUP($P$4,SpellListSummary,4,FALSE)</f>
        <v>89</v>
      </c>
      <c r="R11" s="94">
        <f ca="1">J11+VLOOKUP($P$4,SpellListSummary,4,FALSE)</f>
        <v>109</v>
      </c>
      <c r="S11" s="94">
        <f ca="1">K11+VLOOKUP($P$4,SpellListSummary,4,FALSE)</f>
        <v>114</v>
      </c>
      <c r="T11" s="94">
        <f ca="1">L11+VLOOKUP($P$4,SpellListSummary,4,FALSE)</f>
        <v>119</v>
      </c>
      <c r="U11" s="94">
        <f ca="1">M11+VLOOKUP($P$4,SpellListSummary,4,FALSE)</f>
        <v>124</v>
      </c>
    </row>
    <row r="12" spans="2:21" x14ac:dyDescent="0.25">
      <c r="B12" s="96" t="str">
        <f>IF(Skills!E89="",Skills!C89,Skills!E89&amp;": "&amp;Skills!F89)</f>
        <v xml:space="preserve">Open: </v>
      </c>
      <c r="C12" s="72">
        <f ca="1">IF(Skills!H89="","",Skills!H89)</f>
        <v>0</v>
      </c>
      <c r="D12" s="72">
        <f ca="1">IF(Skills!G89="","",Skills!G89)</f>
        <v>-9</v>
      </c>
      <c r="E12" s="74">
        <f ca="1">100+Skills!H89+VLOOKUP("RS",StatBonuses,2,FALSE)</f>
        <v>108</v>
      </c>
      <c r="F12" s="72"/>
      <c r="G12" s="398" t="str">
        <f>IF(G13="n/a","n/a",IF(G13-1&gt;0,G13-1,"n/a"))</f>
        <v>n/a</v>
      </c>
      <c r="H12" s="93">
        <f>IF(Tables!Y7&gt;=0,Tables!Y7,MIN(0,Tables!Y7+MAX(Grace,0)))</f>
        <v>5</v>
      </c>
      <c r="I12" s="94">
        <f ca="1">IF(Tables!T7&gt;=0,Tables!T7,MIN(0,Tables!T7+MAX(Grace,0)))</f>
        <v>-30</v>
      </c>
      <c r="J12" s="94">
        <f>IF(Tables!U7&gt;=0,Tables!U7,MIN(0,Tables!U7+MAX(Grace,0)))</f>
        <v>0</v>
      </c>
      <c r="K12" s="94">
        <f>IF(Tables!V7&gt;=0,Tables!V7,MIN(0,Tables!V7+MAX(Grace,0)))</f>
        <v>5</v>
      </c>
      <c r="L12" s="94">
        <f>IF(Tables!W7&gt;=0,Tables!W7,MIN(0,Tables!W7+MAX(Grace,0)))</f>
        <v>10</v>
      </c>
      <c r="M12" s="94">
        <f>IF(Tables!X7&gt;=0,Tables!X7,MIN(0,Tables!X7+MAX(Grace,0)))</f>
        <v>15</v>
      </c>
      <c r="O12" s="398" t="str">
        <f t="shared" si="0"/>
        <v>n/a</v>
      </c>
      <c r="P12" s="93">
        <f ca="1">H12+VLOOKUP($P$4,SpellListSummary,4,FALSE)</f>
        <v>114</v>
      </c>
      <c r="Q12" s="94">
        <f ca="1">I12+VLOOKUP($P$4,SpellListSummary,4,FALSE)</f>
        <v>79</v>
      </c>
      <c r="R12" s="94">
        <f ca="1">J12+VLOOKUP($P$4,SpellListSummary,4,FALSE)</f>
        <v>109</v>
      </c>
      <c r="S12" s="94">
        <f ca="1">K12+VLOOKUP($P$4,SpellListSummary,4,FALSE)</f>
        <v>114</v>
      </c>
      <c r="T12" s="94">
        <f ca="1">L12+VLOOKUP($P$4,SpellListSummary,4,FALSE)</f>
        <v>119</v>
      </c>
      <c r="U12" s="94">
        <f ca="1">M12+VLOOKUP($P$4,SpellListSummary,4,FALSE)</f>
        <v>124</v>
      </c>
    </row>
    <row r="13" spans="2:21" x14ac:dyDescent="0.25">
      <c r="B13" s="96" t="str">
        <f>IF(Skills!E90="",Skills!C90,Skills!E90&amp;": "&amp;Skills!F90)</f>
        <v xml:space="preserve">Open: </v>
      </c>
      <c r="C13" s="72">
        <f ca="1">IF(Skills!H90="","",Skills!H90)</f>
        <v>0</v>
      </c>
      <c r="D13" s="72">
        <f ca="1">IF(Skills!G90="","",Skills!G90)</f>
        <v>-9</v>
      </c>
      <c r="E13" s="74">
        <f ca="1">100+Skills!H90+VLOOKUP("RS",StatBonuses,2,FALSE)</f>
        <v>108</v>
      </c>
      <c r="F13" s="72"/>
      <c r="G13" s="398" t="str">
        <f>IF(G14="n/a","n/a",IF(G14-1&gt;0,G14-1,"n/a"))</f>
        <v>n/a</v>
      </c>
      <c r="H13" s="93">
        <f>IF(Tables!Y8&gt;=0,Tables!Y8,MIN(0,Tables!Y8+MAX(Grace,0)))</f>
        <v>0</v>
      </c>
      <c r="I13" s="94">
        <f ca="1">IF(Tables!T8&gt;=0,Tables!T8,MIN(0,Tables!T8+MAX(Grace,0)))</f>
        <v>-40</v>
      </c>
      <c r="J13" s="94">
        <f ca="1">IF(Tables!U8&gt;=0,Tables!U8,MIN(0,Tables!U8+MAX(Grace,0)))</f>
        <v>-10</v>
      </c>
      <c r="K13" s="94">
        <f>IF(Tables!V8&gt;=0,Tables!V8,MIN(0,Tables!V8+MAX(Grace,0)))</f>
        <v>0</v>
      </c>
      <c r="L13" s="94">
        <f>IF(Tables!W8&gt;=0,Tables!W8,MIN(0,Tables!W8+MAX(Grace,0)))</f>
        <v>5</v>
      </c>
      <c r="M13" s="94">
        <f>IF(Tables!X8&gt;=0,Tables!X8,MIN(0,Tables!X8+MAX(Grace,0)))</f>
        <v>10</v>
      </c>
      <c r="O13" s="398" t="str">
        <f t="shared" si="0"/>
        <v>n/a</v>
      </c>
      <c r="P13" s="93">
        <f ca="1">H13+VLOOKUP($P$4,SpellListSummary,4,FALSE)</f>
        <v>109</v>
      </c>
      <c r="Q13" s="94">
        <f ca="1">I13+VLOOKUP($P$4,SpellListSummary,4,FALSE)</f>
        <v>69</v>
      </c>
      <c r="R13" s="94">
        <f ca="1">J13+VLOOKUP($P$4,SpellListSummary,4,FALSE)</f>
        <v>99</v>
      </c>
      <c r="S13" s="94">
        <f ca="1">K13+VLOOKUP($P$4,SpellListSummary,4,FALSE)</f>
        <v>109</v>
      </c>
      <c r="T13" s="94">
        <f ca="1">L13+VLOOKUP($P$4,SpellListSummary,4,FALSE)</f>
        <v>114</v>
      </c>
      <c r="U13" s="94">
        <f ca="1">M13+VLOOKUP($P$4,SpellListSummary,4,FALSE)</f>
        <v>119</v>
      </c>
    </row>
    <row r="14" spans="2:21" x14ac:dyDescent="0.25">
      <c r="B14" s="96" t="str">
        <f>IF(Skills!E91="",Skills!C91,Skills!E91&amp;": "&amp;Skills!F91)</f>
        <v xml:space="preserve">Open: </v>
      </c>
      <c r="C14" s="72">
        <f ca="1">IF(Skills!H91="","",Skills!H91)</f>
        <v>0</v>
      </c>
      <c r="D14" s="72">
        <f ca="1">IF(Skills!G91="","",Skills!G91)</f>
        <v>-9</v>
      </c>
      <c r="E14" s="74">
        <f ca="1">100+Skills!H91+VLOOKUP("RS",StatBonuses,2,FALSE)</f>
        <v>108</v>
      </c>
      <c r="F14" s="72"/>
      <c r="G14" s="398" t="str">
        <f>IF(G15="n/a","n/a",IF(G15-1&gt;0,G15-1,"n/a"))</f>
        <v>n/a</v>
      </c>
      <c r="H14" s="93">
        <f>IF(Tables!Y9&gt;=0,Tables!Y9,MIN(0,Tables!Y9+MAX(Grace,0)))</f>
        <v>0</v>
      </c>
      <c r="I14" s="94">
        <f ca="1">IF(Tables!T9&gt;=0,Tables!T9,MIN(0,Tables!T9+MAX(Grace,0)))</f>
        <v>-50</v>
      </c>
      <c r="J14" s="94">
        <f ca="1">IF(Tables!U9&gt;=0,Tables!U9,MIN(0,Tables!U9+MAX(Grace,0)))</f>
        <v>-20</v>
      </c>
      <c r="K14" s="94">
        <f>IF(Tables!V9&gt;=0,Tables!V9,MIN(0,Tables!V9+MAX(Grace,0)))</f>
        <v>0</v>
      </c>
      <c r="L14" s="94">
        <f>IF(Tables!W9&gt;=0,Tables!W9,MIN(0,Tables!W9+MAX(Grace,0)))</f>
        <v>5</v>
      </c>
      <c r="M14" s="94">
        <f>IF(Tables!X9&gt;=0,Tables!X9,MIN(0,Tables!X9+MAX(Grace,0)))</f>
        <v>10</v>
      </c>
      <c r="O14" s="398" t="str">
        <f t="shared" si="0"/>
        <v>n/a</v>
      </c>
      <c r="P14" s="93">
        <f ca="1">H14+VLOOKUP($P$4,SpellListSummary,4,FALSE)</f>
        <v>109</v>
      </c>
      <c r="Q14" s="94">
        <f ca="1">I14+VLOOKUP($P$4,SpellListSummary,4,FALSE)</f>
        <v>59</v>
      </c>
      <c r="R14" s="94">
        <f ca="1">J14+VLOOKUP($P$4,SpellListSummary,4,FALSE)</f>
        <v>89</v>
      </c>
      <c r="S14" s="94">
        <f ca="1">K14+VLOOKUP($P$4,SpellListSummary,4,FALSE)</f>
        <v>109</v>
      </c>
      <c r="T14" s="94">
        <f ca="1">L14+VLOOKUP($P$4,SpellListSummary,4,FALSE)</f>
        <v>114</v>
      </c>
      <c r="U14" s="94">
        <f ca="1">M14+VLOOKUP($P$4,SpellListSummary,4,FALSE)</f>
        <v>119</v>
      </c>
    </row>
    <row r="15" spans="2:21" x14ac:dyDescent="0.25">
      <c r="B15" s="96" t="str">
        <f>IF(Skills!E92="",Skills!C92,Skills!E92&amp;": "&amp;Skills!F92)</f>
        <v xml:space="preserve">Open: </v>
      </c>
      <c r="C15" s="72">
        <f ca="1">IF(Skills!H92="","",Skills!H92)</f>
        <v>0</v>
      </c>
      <c r="D15" s="72">
        <f ca="1">IF(Skills!G92="","",Skills!G92)</f>
        <v>-9</v>
      </c>
      <c r="E15" s="74">
        <f ca="1">100+Skills!H92+VLOOKUP("RS",StatBonuses,2,FALSE)</f>
        <v>108</v>
      </c>
      <c r="F15" s="72"/>
      <c r="G15" s="398">
        <f>Level</f>
        <v>1</v>
      </c>
      <c r="H15" s="93">
        <f>IF(Tables!Y10&gt;=0,Tables!Y10,MIN(0,Tables!Y10+MAX(Grace,0)))</f>
        <v>0</v>
      </c>
      <c r="I15" s="94">
        <f ca="1">IF(Tables!T10&gt;=0,Tables!T10,MIN(0,Tables!T10+MAX(Grace,0)))</f>
        <v>-60</v>
      </c>
      <c r="J15" s="94">
        <f ca="1">IF(Tables!U10&gt;=0,Tables!U10,MIN(0,Tables!U10+MAX(Grace,0)))</f>
        <v>-30</v>
      </c>
      <c r="K15" s="94">
        <f>IF(Tables!V10&gt;=0,Tables!V10,MIN(0,Tables!V10+MAX(Grace,0)))</f>
        <v>0</v>
      </c>
      <c r="L15" s="94">
        <f>IF(Tables!W10&gt;=0,Tables!W10,MIN(0,Tables!W10+MAX(Grace,0)))</f>
        <v>5</v>
      </c>
      <c r="M15" s="94">
        <f>IF(Tables!X10&gt;=0,Tables!X10,MIN(0,Tables!X10+MAX(Grace,0)))</f>
        <v>10</v>
      </c>
      <c r="O15" s="398">
        <f t="shared" si="0"/>
        <v>1</v>
      </c>
      <c r="P15" s="93">
        <f ca="1">H15+VLOOKUP($P$4,SpellListSummary,4,FALSE)</f>
        <v>109</v>
      </c>
      <c r="Q15" s="94">
        <f ca="1">I15+VLOOKUP($P$4,SpellListSummary,4,FALSE)</f>
        <v>49</v>
      </c>
      <c r="R15" s="94">
        <f ca="1">J15+VLOOKUP($P$4,SpellListSummary,4,FALSE)</f>
        <v>79</v>
      </c>
      <c r="S15" s="94">
        <f ca="1">K15+VLOOKUP($P$4,SpellListSummary,4,FALSE)</f>
        <v>109</v>
      </c>
      <c r="T15" s="94">
        <f ca="1">L15+VLOOKUP($P$4,SpellListSummary,4,FALSE)</f>
        <v>114</v>
      </c>
      <c r="U15" s="94">
        <f ca="1">M15+VLOOKUP($P$4,SpellListSummary,4,FALSE)</f>
        <v>119</v>
      </c>
    </row>
    <row r="16" spans="2:21" x14ac:dyDescent="0.25">
      <c r="B16" s="96" t="str">
        <f>IF(Skills!E93="",Skills!C93,Skills!E93&amp;": "&amp;Skills!F93)</f>
        <v xml:space="preserve">Open: </v>
      </c>
      <c r="C16" s="72">
        <f ca="1">IF(Skills!H93="","",Skills!H93)</f>
        <v>0</v>
      </c>
      <c r="D16" s="72">
        <f ca="1">IF(Skills!G93="","",Skills!G93)</f>
        <v>-9</v>
      </c>
      <c r="E16" s="74">
        <f ca="1">100+Skills!H93+VLOOKUP("RS",StatBonuses,2,FALSE)</f>
        <v>108</v>
      </c>
      <c r="F16" s="72"/>
      <c r="G16" s="398">
        <f>G15+1</f>
        <v>2</v>
      </c>
      <c r="H16" s="93">
        <f ca="1">IF(Tables!Y11&gt;=0,Tables!Y11,MIN(0,Tables!Y11+MAX(Grace,0)))</f>
        <v>-20</v>
      </c>
      <c r="I16" s="94">
        <f ca="1">IF(Tables!T11&gt;=0,Tables!T11,MIN(0,Tables!T11+MAX(Grace,0)))</f>
        <v>-80</v>
      </c>
      <c r="J16" s="94">
        <f ca="1">IF(Tables!U11&gt;=0,Tables!U11,MIN(0,Tables!U11+MAX(Grace,0)))</f>
        <v>-50</v>
      </c>
      <c r="K16" s="94">
        <f ca="1">IF(Tables!V11&gt;=0,Tables!V11,MIN(0,Tables!V11+MAX(Grace,0)))</f>
        <v>-20</v>
      </c>
      <c r="L16" s="94">
        <f ca="1">IF(Tables!W11&gt;=0,Tables!W11,MIN(0,Tables!W11+MAX(Grace,0)))</f>
        <v>-15</v>
      </c>
      <c r="M16" s="94">
        <f ca="1">IF(Tables!X11&gt;=0,Tables!X11,MIN(0,Tables!X11+MAX(Grace,0)))</f>
        <v>-10</v>
      </c>
      <c r="O16" s="398">
        <f t="shared" si="0"/>
        <v>2</v>
      </c>
      <c r="P16" s="93">
        <f ca="1">H16+VLOOKUP($P$4,SpellListSummary,4,FALSE)</f>
        <v>89</v>
      </c>
      <c r="Q16" s="94">
        <f ca="1">I16+VLOOKUP($P$4,SpellListSummary,4,FALSE)</f>
        <v>29</v>
      </c>
      <c r="R16" s="94">
        <f ca="1">J16+VLOOKUP($P$4,SpellListSummary,4,FALSE)</f>
        <v>59</v>
      </c>
      <c r="S16" s="94">
        <f ca="1">K16+VLOOKUP($P$4,SpellListSummary,4,FALSE)</f>
        <v>89</v>
      </c>
      <c r="T16" s="94">
        <f ca="1">L16+VLOOKUP($P$4,SpellListSummary,4,FALSE)</f>
        <v>94</v>
      </c>
      <c r="U16" s="94">
        <f ca="1">M16+VLOOKUP($P$4,SpellListSummary,4,FALSE)</f>
        <v>99</v>
      </c>
    </row>
    <row r="17" spans="2:21" x14ac:dyDescent="0.25">
      <c r="B17" s="96" t="str">
        <f>IF(Skills!E94="",Skills!C94,Skills!E94&amp;": "&amp;Skills!F94)</f>
        <v xml:space="preserve">Open: </v>
      </c>
      <c r="C17" s="72">
        <f ca="1">IF(Skills!H94="","",Skills!H94)</f>
        <v>0</v>
      </c>
      <c r="D17" s="72">
        <f ca="1">IF(Skills!G94="","",Skills!G94)</f>
        <v>-9</v>
      </c>
      <c r="E17" s="74">
        <f ca="1">100+Skills!H94+VLOOKUP("RS",StatBonuses,2,FALSE)</f>
        <v>108</v>
      </c>
      <c r="F17" s="72"/>
      <c r="G17" s="398">
        <f>G16+1</f>
        <v>3</v>
      </c>
      <c r="H17" s="93">
        <f ca="1">IF(Tables!Y12&gt;=0,Tables!Y12,MIN(0,Tables!Y12+MAX(Grace,0)))</f>
        <v>-30</v>
      </c>
      <c r="I17" s="94">
        <f ca="1">IF(Tables!T12&gt;=0,Tables!T12,MIN(0,Tables!T12+MAX(Grace,0)))</f>
        <v>-90</v>
      </c>
      <c r="J17" s="94">
        <f ca="1">IF(Tables!U12&gt;=0,Tables!U12,MIN(0,Tables!U12+MAX(Grace,0)))</f>
        <v>-60</v>
      </c>
      <c r="K17" s="94">
        <f ca="1">IF(Tables!V12&gt;=0,Tables!V12,MIN(0,Tables!V12+MAX(Grace,0)))</f>
        <v>-30</v>
      </c>
      <c r="L17" s="94">
        <f ca="1">IF(Tables!W12&gt;=0,Tables!W12,MIN(0,Tables!W12+MAX(Grace,0)))</f>
        <v>-25</v>
      </c>
      <c r="M17" s="94">
        <f ca="1">IF(Tables!X12&gt;=0,Tables!X12,MIN(0,Tables!X12+MAX(Grace,0)))</f>
        <v>-20</v>
      </c>
      <c r="O17" s="398">
        <f t="shared" si="0"/>
        <v>3</v>
      </c>
      <c r="P17" s="93">
        <f ca="1">H17+VLOOKUP($P$4,SpellListSummary,4,FALSE)</f>
        <v>79</v>
      </c>
      <c r="Q17" s="94">
        <f ca="1">I17+VLOOKUP($P$4,SpellListSummary,4,FALSE)</f>
        <v>19</v>
      </c>
      <c r="R17" s="94">
        <f ca="1">J17+VLOOKUP($P$4,SpellListSummary,4,FALSE)</f>
        <v>49</v>
      </c>
      <c r="S17" s="94">
        <f ca="1">K17+VLOOKUP($P$4,SpellListSummary,4,FALSE)</f>
        <v>79</v>
      </c>
      <c r="T17" s="94">
        <f ca="1">L17+VLOOKUP($P$4,SpellListSummary,4,FALSE)</f>
        <v>84</v>
      </c>
      <c r="U17" s="94">
        <f ca="1">M17+VLOOKUP($P$4,SpellListSummary,4,FALSE)</f>
        <v>89</v>
      </c>
    </row>
    <row r="18" spans="2:21" x14ac:dyDescent="0.25">
      <c r="B18" s="96" t="str">
        <f>IF(Skills!E95="",Skills!C95,Skills!E95&amp;": "&amp;Skills!F95)</f>
        <v xml:space="preserve">Open: </v>
      </c>
      <c r="C18" s="72">
        <f ca="1">IF(Skills!H95="","",Skills!H95)</f>
        <v>0</v>
      </c>
      <c r="D18" s="72">
        <f ca="1">IF(Skills!G95="","",Skills!G95)</f>
        <v>-9</v>
      </c>
      <c r="E18" s="74">
        <f ca="1">100+Skills!H95+VLOOKUP("RS",StatBonuses,2,FALSE)</f>
        <v>108</v>
      </c>
      <c r="F18" s="72"/>
      <c r="G18" s="398">
        <f>G17+1</f>
        <v>4</v>
      </c>
      <c r="H18" s="93">
        <f ca="1">IF(Tables!Y13&gt;=0,Tables!Y13,MIN(0,Tables!Y13+MAX(Grace,0)))</f>
        <v>-40</v>
      </c>
      <c r="I18" s="94">
        <f ca="1">IF(Tables!T13&gt;=0,Tables!T13,MIN(0,Tables!T13+MAX(Grace,0)))</f>
        <v>-100</v>
      </c>
      <c r="J18" s="94">
        <f ca="1">IF(Tables!U13&gt;=0,Tables!U13,MIN(0,Tables!U13+MAX(Grace,0)))</f>
        <v>-70</v>
      </c>
      <c r="K18" s="94">
        <f ca="1">IF(Tables!V13&gt;=0,Tables!V13,MIN(0,Tables!V13+MAX(Grace,0)))</f>
        <v>-40</v>
      </c>
      <c r="L18" s="94">
        <f ca="1">IF(Tables!W13&gt;=0,Tables!W13,MIN(0,Tables!W13+MAX(Grace,0)))</f>
        <v>-35</v>
      </c>
      <c r="M18" s="94">
        <f ca="1">IF(Tables!X13&gt;=0,Tables!X13,MIN(0,Tables!X13+MAX(Grace,0)))</f>
        <v>-30</v>
      </c>
      <c r="O18" s="398">
        <f t="shared" si="0"/>
        <v>4</v>
      </c>
      <c r="P18" s="93">
        <f ca="1">H18+VLOOKUP($P$4,SpellListSummary,4,FALSE)</f>
        <v>69</v>
      </c>
      <c r="Q18" s="94">
        <f ca="1">I18+VLOOKUP($P$4,SpellListSummary,4,FALSE)</f>
        <v>9</v>
      </c>
      <c r="R18" s="94">
        <f ca="1">J18+VLOOKUP($P$4,SpellListSummary,4,FALSE)</f>
        <v>39</v>
      </c>
      <c r="S18" s="94">
        <f ca="1">K18+VLOOKUP($P$4,SpellListSummary,4,FALSE)</f>
        <v>69</v>
      </c>
      <c r="T18" s="94">
        <f ca="1">L18+VLOOKUP($P$4,SpellListSummary,4,FALSE)</f>
        <v>74</v>
      </c>
      <c r="U18" s="94">
        <f ca="1">M18+VLOOKUP($P$4,SpellListSummary,4,FALSE)</f>
        <v>79</v>
      </c>
    </row>
    <row r="19" spans="2:21" x14ac:dyDescent="0.25">
      <c r="B19" s="96" t="str">
        <f>IF(Skills!E96="",Skills!C96,Skills!E96&amp;": "&amp;Skills!F96)</f>
        <v xml:space="preserve">Closed: </v>
      </c>
      <c r="C19" s="72">
        <f ca="1">IF(Skills!H96="","",Skills!H96)</f>
        <v>0</v>
      </c>
      <c r="D19" s="72">
        <f ca="1">IF(Skills!G96="","",Skills!G96)</f>
        <v>-9</v>
      </c>
      <c r="E19" s="74">
        <f ca="1">100+Skills!H96+VLOOKUP("RS",StatBonuses,2,FALSE)</f>
        <v>108</v>
      </c>
      <c r="F19" s="72"/>
      <c r="G19" s="398">
        <f>G18+1</f>
        <v>5</v>
      </c>
      <c r="H19" s="93">
        <f ca="1">IF(Tables!Y14&gt;=0,Tables!Y14,MIN(0,Tables!Y14+MAX(Grace,0)))</f>
        <v>-50</v>
      </c>
      <c r="I19" s="94">
        <f ca="1">IF(Tables!T14&gt;=0,Tables!T14,MIN(0,Tables!T14+MAX(Grace,0)))</f>
        <v>-110</v>
      </c>
      <c r="J19" s="94">
        <f ca="1">IF(Tables!U14&gt;=0,Tables!U14,MIN(0,Tables!U14+MAX(Grace,0)))</f>
        <v>-80</v>
      </c>
      <c r="K19" s="94">
        <f ca="1">IF(Tables!V14&gt;=0,Tables!V14,MIN(0,Tables!V14+MAX(Grace,0)))</f>
        <v>-50</v>
      </c>
      <c r="L19" s="94">
        <f ca="1">IF(Tables!W14&gt;=0,Tables!W14,MIN(0,Tables!W14+MAX(Grace,0)))</f>
        <v>-45</v>
      </c>
      <c r="M19" s="94">
        <f ca="1">IF(Tables!X14&gt;=0,Tables!X14,MIN(0,Tables!X14+MAX(Grace,0)))</f>
        <v>-40</v>
      </c>
      <c r="O19" s="398">
        <f t="shared" si="0"/>
        <v>5</v>
      </c>
      <c r="P19" s="93">
        <f ca="1">H19+VLOOKUP($P$4,SpellListSummary,4,FALSE)</f>
        <v>59</v>
      </c>
      <c r="Q19" s="94">
        <f ca="1">I19+VLOOKUP($P$4,SpellListSummary,4,FALSE)</f>
        <v>-1</v>
      </c>
      <c r="R19" s="94">
        <f ca="1">J19+VLOOKUP($P$4,SpellListSummary,4,FALSE)</f>
        <v>29</v>
      </c>
      <c r="S19" s="94">
        <f ca="1">K19+VLOOKUP($P$4,SpellListSummary,4,FALSE)</f>
        <v>59</v>
      </c>
      <c r="T19" s="94">
        <f ca="1">L19+VLOOKUP($P$4,SpellListSummary,4,FALSE)</f>
        <v>64</v>
      </c>
      <c r="U19" s="94">
        <f ca="1">M19+VLOOKUP($P$4,SpellListSummary,4,FALSE)</f>
        <v>69</v>
      </c>
    </row>
    <row r="20" spans="2:21" x14ac:dyDescent="0.25">
      <c r="B20" s="96" t="str">
        <f>IF(Skills!E97="",Skills!C97,Skills!E97&amp;": "&amp;Skills!F97)</f>
        <v xml:space="preserve">Closed: </v>
      </c>
      <c r="C20" s="72">
        <f ca="1">IF(Skills!H97="","",Skills!H97)</f>
        <v>0</v>
      </c>
      <c r="D20" s="72">
        <f ca="1">IF(Skills!G97="","",Skills!G97)</f>
        <v>-9</v>
      </c>
      <c r="E20" s="74">
        <f ca="1">100+Skills!H97+VLOOKUP("RS",StatBonuses,2,FALSE)</f>
        <v>108</v>
      </c>
      <c r="F20" s="72"/>
      <c r="G20" s="398">
        <f>G19+1</f>
        <v>6</v>
      </c>
      <c r="H20" s="93">
        <f ca="1">IF(Tables!Y15&gt;=0,Tables!Y15,MIN(0,Tables!Y15+MAX(Grace,0)))</f>
        <v>-60</v>
      </c>
      <c r="I20" s="94">
        <f ca="1">IF(Tables!T15&gt;=0,Tables!T15,MIN(0,Tables!T15+MAX(Grace,0)))</f>
        <v>-120</v>
      </c>
      <c r="J20" s="94">
        <f ca="1">IF(Tables!U15&gt;=0,Tables!U15,MIN(0,Tables!U15+MAX(Grace,0)))</f>
        <v>-90</v>
      </c>
      <c r="K20" s="94">
        <f ca="1">IF(Tables!V15&gt;=0,Tables!V15,MIN(0,Tables!V15+MAX(Grace,0)))</f>
        <v>-60</v>
      </c>
      <c r="L20" s="94">
        <f ca="1">IF(Tables!W15&gt;=0,Tables!W15,MIN(0,Tables!W15+MAX(Grace,0)))</f>
        <v>-55</v>
      </c>
      <c r="M20" s="94">
        <f ca="1">IF(Tables!X15&gt;=0,Tables!X15,MIN(0,Tables!X15+MAX(Grace,0)))</f>
        <v>-50</v>
      </c>
      <c r="O20" s="398">
        <f t="shared" si="0"/>
        <v>6</v>
      </c>
      <c r="P20" s="93">
        <f ca="1">H20+VLOOKUP($P$4,SpellListSummary,4,FALSE)</f>
        <v>49</v>
      </c>
      <c r="Q20" s="94">
        <f ca="1">I20+VLOOKUP($P$4,SpellListSummary,4,FALSE)</f>
        <v>-11</v>
      </c>
      <c r="R20" s="94">
        <f ca="1">J20+VLOOKUP($P$4,SpellListSummary,4,FALSE)</f>
        <v>19</v>
      </c>
      <c r="S20" s="94">
        <f ca="1">K20+VLOOKUP($P$4,SpellListSummary,4,FALSE)</f>
        <v>49</v>
      </c>
      <c r="T20" s="94">
        <f ca="1">L20+VLOOKUP($P$4,SpellListSummary,4,FALSE)</f>
        <v>54</v>
      </c>
      <c r="U20" s="94">
        <f ca="1">M20+VLOOKUP($P$4,SpellListSummary,4,FALSE)</f>
        <v>59</v>
      </c>
    </row>
    <row r="21" spans="2:21" x14ac:dyDescent="0.25">
      <c r="B21" s="96" t="str">
        <f>IF(Skills!E98="",Skills!C98,Skills!E98&amp;": "&amp;Skills!F98)</f>
        <v xml:space="preserve">Closed: </v>
      </c>
      <c r="C21" s="72">
        <f ca="1">IF(Skills!H98="","",Skills!H98)</f>
        <v>0</v>
      </c>
      <c r="D21" s="72">
        <f ca="1">IF(Skills!G98="","",Skills!G98)</f>
        <v>-9</v>
      </c>
      <c r="E21" s="74">
        <f ca="1">100+Skills!H98+VLOOKUP("RS",StatBonuses,2,FALSE)</f>
        <v>108</v>
      </c>
      <c r="F21" s="72"/>
      <c r="G21" s="398" t="str">
        <f>G20+1&amp;" - "&amp;G20+2</f>
        <v>7 - 8</v>
      </c>
      <c r="H21" s="93">
        <f ca="1">IF(Tables!Y16&gt;=0,Tables!Y16,MIN(0,Tables!Y16+MAX(Grace,0)))</f>
        <v>-80</v>
      </c>
      <c r="I21" s="94">
        <f ca="1">IF(Tables!T16&gt;=0,Tables!T16,MIN(0,Tables!T16+MAX(Grace,0)))</f>
        <v>-140</v>
      </c>
      <c r="J21" s="94">
        <f ca="1">IF(Tables!U16&gt;=0,Tables!U16,MIN(0,Tables!U16+MAX(Grace,0)))</f>
        <v>-110</v>
      </c>
      <c r="K21" s="94">
        <f ca="1">IF(Tables!V16&gt;=0,Tables!V16,MIN(0,Tables!V16+MAX(Grace,0)))</f>
        <v>-80</v>
      </c>
      <c r="L21" s="94">
        <f ca="1">IF(Tables!W16&gt;=0,Tables!W16,MIN(0,Tables!W16+MAX(Grace,0)))</f>
        <v>-75</v>
      </c>
      <c r="M21" s="94">
        <f ca="1">IF(Tables!X16&gt;=0,Tables!X16,MIN(0,Tables!X16+MAX(Grace,0)))</f>
        <v>-70</v>
      </c>
      <c r="O21" s="398" t="str">
        <f>G21</f>
        <v>7 - 8</v>
      </c>
      <c r="P21" s="93">
        <f ca="1">H21+VLOOKUP($P$4,SpellListSummary,4,FALSE)</f>
        <v>29</v>
      </c>
      <c r="Q21" s="94">
        <f ca="1">I21+VLOOKUP($P$4,SpellListSummary,4,FALSE)</f>
        <v>-31</v>
      </c>
      <c r="R21" s="94">
        <f ca="1">J21+VLOOKUP($P$4,SpellListSummary,4,FALSE)</f>
        <v>-1</v>
      </c>
      <c r="S21" s="94">
        <f ca="1">K21+VLOOKUP($P$4,SpellListSummary,4,FALSE)</f>
        <v>29</v>
      </c>
      <c r="T21" s="94">
        <f ca="1">L21+VLOOKUP($P$4,SpellListSummary,4,FALSE)</f>
        <v>34</v>
      </c>
      <c r="U21" s="94">
        <f ca="1">M21+VLOOKUP($P$4,SpellListSummary,4,FALSE)</f>
        <v>39</v>
      </c>
    </row>
    <row r="22" spans="2:21" ht="15.75" thickBot="1" x14ac:dyDescent="0.3">
      <c r="B22" s="96" t="str">
        <f>IF(Skills!E99="",Skills!C99,Skills!E99&amp;": "&amp;Skills!F99)</f>
        <v xml:space="preserve">Closed: </v>
      </c>
      <c r="C22" s="72">
        <f ca="1">IF(Skills!H99="","",Skills!H99)</f>
        <v>0</v>
      </c>
      <c r="D22" s="72">
        <f ca="1">IF(Skills!G99="","",Skills!G99)</f>
        <v>-9</v>
      </c>
      <c r="E22" s="74">
        <f ca="1">100+Skills!H99+VLOOKUP("RS",StatBonuses,2,FALSE)</f>
        <v>108</v>
      </c>
      <c r="F22" s="72"/>
      <c r="G22" s="399" t="str">
        <f>G20+3&amp;" or Higher"</f>
        <v>9 or Higher</v>
      </c>
      <c r="H22" s="93">
        <f ca="1">IF(Tables!Y17&gt;=0,Tables!Y17,MIN(0,Tables!Y17+MAX(Grace,0)))</f>
        <v>-100</v>
      </c>
      <c r="I22" s="94">
        <f ca="1">IF(Tables!T17&gt;=0,Tables!T17,MIN(0,Tables!T17+MAX(Grace,0)))</f>
        <v>-160</v>
      </c>
      <c r="J22" s="94">
        <f ca="1">IF(Tables!U17&gt;=0,Tables!U17,MIN(0,Tables!U17+MAX(Grace,0)))</f>
        <v>-130</v>
      </c>
      <c r="K22" s="94">
        <f ca="1">IF(Tables!V17&gt;=0,Tables!V17,MIN(0,Tables!V17+MAX(Grace,0)))</f>
        <v>-100</v>
      </c>
      <c r="L22" s="94">
        <f ca="1">IF(Tables!W17&gt;=0,Tables!W17,MIN(0,Tables!W17+MAX(Grace,0)))</f>
        <v>-95</v>
      </c>
      <c r="M22" s="94">
        <f ca="1">IF(Tables!X17&gt;=0,Tables!X17,MIN(0,Tables!X17+MAX(Grace,0)))</f>
        <v>-90</v>
      </c>
      <c r="O22" s="399" t="str">
        <f>G22</f>
        <v>9 or Higher</v>
      </c>
      <c r="P22" s="93">
        <f ca="1">H22+VLOOKUP($P$4,SpellListSummary,4,FALSE)</f>
        <v>9</v>
      </c>
      <c r="Q22" s="94">
        <f ca="1">I22+VLOOKUP($P$4,SpellListSummary,4,FALSE)</f>
        <v>-51</v>
      </c>
      <c r="R22" s="94">
        <f ca="1">J22+VLOOKUP($P$4,SpellListSummary,4,FALSE)</f>
        <v>-21</v>
      </c>
      <c r="S22" s="94">
        <f ca="1">K22+VLOOKUP($P$4,SpellListSummary,4,FALSE)</f>
        <v>9</v>
      </c>
      <c r="T22" s="94">
        <f ca="1">L22+VLOOKUP($P$4,SpellListSummary,4,FALSE)</f>
        <v>14</v>
      </c>
      <c r="U22" s="94">
        <f ca="1">M22+VLOOKUP($P$4,SpellListSummary,4,FALSE)</f>
        <v>19</v>
      </c>
    </row>
    <row r="23" spans="2:21" ht="15.75" thickBot="1" x14ac:dyDescent="0.3">
      <c r="B23" s="96" t="str">
        <f>IF(Skills!E100="",Skills!C100,Skills!E100&amp;": "&amp;Skills!F100)</f>
        <v xml:space="preserve">Closed: </v>
      </c>
      <c r="C23" s="72">
        <f ca="1">IF(Skills!H100="","",Skills!H100)</f>
        <v>0</v>
      </c>
      <c r="D23" s="72">
        <f ca="1">IF(Skills!G100="","",Skills!G100)</f>
        <v>-9</v>
      </c>
      <c r="E23" s="74">
        <f ca="1">100+Skills!H100+VLOOKUP("RS",StatBonuses,2,FALSE)</f>
        <v>108</v>
      </c>
      <c r="F23" s="72"/>
      <c r="G23" s="854" t="s">
        <v>340</v>
      </c>
      <c r="H23" s="854"/>
      <c r="I23" s="854"/>
      <c r="J23" s="854"/>
      <c r="K23" s="854"/>
      <c r="L23" s="854"/>
      <c r="M23" s="854"/>
    </row>
    <row r="24" spans="2:21" ht="16.5" thickBot="1" x14ac:dyDescent="0.3">
      <c r="B24" s="96" t="str">
        <f>IF(Skills!E101="",Skills!C101,Skills!E101&amp;": "&amp;Skills!F101)</f>
        <v xml:space="preserve">Closed: </v>
      </c>
      <c r="C24" s="72">
        <f ca="1">IF(Skills!H101="","",Skills!H101)</f>
        <v>0</v>
      </c>
      <c r="D24" s="72">
        <f ca="1">IF(Skills!G101="","",Skills!G101)</f>
        <v>-9</v>
      </c>
      <c r="E24" s="74">
        <f ca="1">100+Skills!H101+VLOOKUP("RS",StatBonuses,2,FALSE)</f>
        <v>108</v>
      </c>
      <c r="G24" s="813" t="str">
        <f ca="1">"Magical Expertise: Spell Trickery  " &amp; IF(SpellTrickery &gt; 0, "+"&amp; SpellTrickery, SpellTrickery)</f>
        <v>Magical Expertise: Spell Trickery  0</v>
      </c>
      <c r="H24" s="814"/>
      <c r="I24" s="814"/>
      <c r="J24" s="814"/>
      <c r="K24" s="814"/>
      <c r="L24" s="814"/>
      <c r="M24" s="815"/>
    </row>
    <row r="25" spans="2:21" x14ac:dyDescent="0.25">
      <c r="B25" s="96" t="str">
        <f>IF(Skills!E102="",Skills!C102,Skills!E102&amp;": "&amp;Skills!F102)</f>
        <v xml:space="preserve">Restricted: </v>
      </c>
      <c r="C25" s="72">
        <f ca="1">IF(Skills!H102="","",Skills!H102)</f>
        <v>0</v>
      </c>
      <c r="D25" s="72">
        <f ca="1">IF(Skills!G102="","",Skills!G102)</f>
        <v>-9</v>
      </c>
      <c r="E25" s="74">
        <f ca="1">100+Skills!H102+VLOOKUP("RS",StatBonuses,2,FALSE)</f>
        <v>108</v>
      </c>
      <c r="G25" s="372"/>
      <c r="H25" s="857" t="s">
        <v>37</v>
      </c>
      <c r="I25" s="857"/>
      <c r="J25" s="857" t="s">
        <v>301</v>
      </c>
      <c r="K25" s="857"/>
      <c r="L25" s="857" t="s">
        <v>39</v>
      </c>
      <c r="M25" s="858"/>
    </row>
    <row r="26" spans="2:21" x14ac:dyDescent="0.25">
      <c r="B26" s="96" t="str">
        <f>IF(Skills!E103="",Skills!C103,Skills!E103&amp;": "&amp;Skills!F103)</f>
        <v xml:space="preserve">Restricted: </v>
      </c>
      <c r="C26" s="72">
        <f ca="1">IF(Skills!H103="","",Skills!H103)</f>
        <v>0</v>
      </c>
      <c r="D26" s="72">
        <f ca="1">IF(Skills!G103="","",Skills!G103)</f>
        <v>-9</v>
      </c>
      <c r="E26" s="74">
        <f ca="1">100+Skills!H103+VLOOKUP("RS",StatBonuses,2,FALSE)</f>
        <v>108</v>
      </c>
      <c r="G26" s="816" t="s">
        <v>328</v>
      </c>
      <c r="H26" s="817"/>
      <c r="I26" s="817"/>
      <c r="J26" s="817"/>
      <c r="K26" s="817"/>
      <c r="L26" s="817"/>
      <c r="M26" s="818"/>
    </row>
    <row r="27" spans="2:21" x14ac:dyDescent="0.25">
      <c r="B27" s="96"/>
      <c r="C27" s="72"/>
      <c r="D27" s="72"/>
      <c r="E27" s="74"/>
      <c r="G27" s="400" t="s">
        <v>302</v>
      </c>
      <c r="H27" s="821">
        <v>-40</v>
      </c>
      <c r="I27" s="821"/>
      <c r="J27" s="821">
        <v>-60</v>
      </c>
      <c r="K27" s="821"/>
      <c r="L27" s="821">
        <v>-30</v>
      </c>
      <c r="M27" s="836"/>
    </row>
    <row r="28" spans="2:21" x14ac:dyDescent="0.25">
      <c r="B28" s="96"/>
      <c r="C28" s="72"/>
      <c r="D28" s="72"/>
      <c r="E28" s="74"/>
      <c r="G28" s="400" t="s">
        <v>303</v>
      </c>
      <c r="H28" s="821">
        <v>-25</v>
      </c>
      <c r="I28" s="821"/>
      <c r="J28" s="821">
        <v>-40</v>
      </c>
      <c r="K28" s="821"/>
      <c r="L28" s="821">
        <v>-20</v>
      </c>
      <c r="M28" s="836"/>
    </row>
    <row r="29" spans="2:21" x14ac:dyDescent="0.25">
      <c r="B29" s="96"/>
      <c r="C29" s="72"/>
      <c r="D29" s="72"/>
      <c r="E29" s="74"/>
      <c r="G29" s="400" t="s">
        <v>304</v>
      </c>
      <c r="H29" s="821">
        <v>-5</v>
      </c>
      <c r="I29" s="821"/>
      <c r="J29" s="821">
        <v>-10</v>
      </c>
      <c r="K29" s="821"/>
      <c r="L29" s="821">
        <v>0</v>
      </c>
      <c r="M29" s="836"/>
    </row>
    <row r="30" spans="2:21" x14ac:dyDescent="0.25">
      <c r="B30" s="96"/>
      <c r="C30" s="72"/>
      <c r="D30" s="72"/>
      <c r="E30" s="74"/>
      <c r="G30" s="400" t="s">
        <v>305</v>
      </c>
      <c r="H30" s="821">
        <v>-15</v>
      </c>
      <c r="I30" s="821"/>
      <c r="J30" s="821">
        <v>-30</v>
      </c>
      <c r="K30" s="821"/>
      <c r="L30" s="821">
        <v>-5</v>
      </c>
      <c r="M30" s="836"/>
    </row>
    <row r="31" spans="2:21" x14ac:dyDescent="0.25">
      <c r="B31" s="96"/>
      <c r="C31" s="72"/>
      <c r="D31" s="72"/>
      <c r="E31" s="74"/>
      <c r="G31" s="816" t="s">
        <v>306</v>
      </c>
      <c r="H31" s="817"/>
      <c r="I31" s="817"/>
      <c r="J31" s="817"/>
      <c r="K31" s="817"/>
      <c r="L31" s="817"/>
      <c r="M31" s="818"/>
    </row>
    <row r="32" spans="2:21" x14ac:dyDescent="0.25">
      <c r="B32" s="96"/>
      <c r="C32" s="72"/>
      <c r="D32" s="72"/>
      <c r="E32" s="74"/>
      <c r="G32" s="400" t="s">
        <v>307</v>
      </c>
      <c r="H32" s="821">
        <v>-20</v>
      </c>
      <c r="I32" s="821"/>
      <c r="J32" s="821">
        <v>-40</v>
      </c>
      <c r="K32" s="821"/>
      <c r="L32" s="821">
        <v>0</v>
      </c>
      <c r="M32" s="836"/>
    </row>
    <row r="33" spans="2:13" x14ac:dyDescent="0.25">
      <c r="B33" s="96"/>
      <c r="C33" s="72"/>
      <c r="D33" s="72"/>
      <c r="E33" s="74"/>
      <c r="G33" s="400" t="s">
        <v>308</v>
      </c>
      <c r="H33" s="821">
        <v>0</v>
      </c>
      <c r="I33" s="821"/>
      <c r="J33" s="821">
        <v>-10</v>
      </c>
      <c r="K33" s="821"/>
      <c r="L33" s="821">
        <v>0</v>
      </c>
      <c r="M33" s="836"/>
    </row>
    <row r="34" spans="2:13" x14ac:dyDescent="0.25">
      <c r="B34" s="96"/>
      <c r="C34" s="72"/>
      <c r="D34" s="72"/>
      <c r="E34" s="74"/>
      <c r="G34" s="400" t="s">
        <v>309</v>
      </c>
      <c r="H34" s="821">
        <v>5</v>
      </c>
      <c r="I34" s="821"/>
      <c r="J34" s="821">
        <v>-5</v>
      </c>
      <c r="K34" s="821"/>
      <c r="L34" s="821">
        <v>0</v>
      </c>
      <c r="M34" s="836"/>
    </row>
    <row r="35" spans="2:13" x14ac:dyDescent="0.25">
      <c r="B35" s="96"/>
      <c r="C35" s="72"/>
      <c r="D35" s="72"/>
      <c r="E35" s="74"/>
      <c r="G35" s="816" t="s">
        <v>310</v>
      </c>
      <c r="H35" s="817"/>
      <c r="I35" s="817"/>
      <c r="J35" s="817"/>
      <c r="K35" s="817"/>
      <c r="L35" s="817"/>
      <c r="M35" s="818"/>
    </row>
    <row r="36" spans="2:13" x14ac:dyDescent="0.25">
      <c r="B36" s="96"/>
      <c r="C36" s="72"/>
      <c r="D36" s="72"/>
      <c r="E36" s="74"/>
      <c r="G36" s="400" t="s">
        <v>307</v>
      </c>
      <c r="H36" s="821">
        <v>-15</v>
      </c>
      <c r="I36" s="821"/>
      <c r="J36" s="821">
        <v>-25</v>
      </c>
      <c r="K36" s="821"/>
      <c r="L36" s="821">
        <v>0</v>
      </c>
      <c r="M36" s="836"/>
    </row>
    <row r="37" spans="2:13" x14ac:dyDescent="0.25">
      <c r="B37" s="96"/>
      <c r="C37" s="72"/>
      <c r="D37" s="72"/>
      <c r="E37" s="74"/>
      <c r="G37" s="400" t="s">
        <v>311</v>
      </c>
      <c r="H37" s="821">
        <v>-5</v>
      </c>
      <c r="I37" s="821"/>
      <c r="J37" s="821">
        <v>-10</v>
      </c>
      <c r="K37" s="821"/>
      <c r="L37" s="821">
        <v>0</v>
      </c>
      <c r="M37" s="836"/>
    </row>
    <row r="38" spans="2:13" x14ac:dyDescent="0.25">
      <c r="B38" s="96"/>
      <c r="C38" s="72"/>
      <c r="D38" s="72"/>
      <c r="E38" s="74"/>
      <c r="G38" s="400" t="s">
        <v>312</v>
      </c>
      <c r="H38" s="821">
        <v>0</v>
      </c>
      <c r="I38" s="821"/>
      <c r="J38" s="821">
        <v>0</v>
      </c>
      <c r="K38" s="821"/>
      <c r="L38" s="821">
        <v>0</v>
      </c>
      <c r="M38" s="836"/>
    </row>
    <row r="39" spans="2:13" ht="15.75" thickBot="1" x14ac:dyDescent="0.3">
      <c r="B39" s="97"/>
      <c r="C39" s="75"/>
      <c r="D39" s="75"/>
      <c r="E39" s="77"/>
      <c r="G39" s="401" t="s">
        <v>313</v>
      </c>
      <c r="H39" s="805">
        <v>10</v>
      </c>
      <c r="I39" s="805"/>
      <c r="J39" s="805">
        <v>5</v>
      </c>
      <c r="K39" s="805"/>
      <c r="L39" s="805">
        <v>0</v>
      </c>
      <c r="M39" s="806"/>
    </row>
    <row r="40" spans="2:13" ht="15.75" thickBot="1" x14ac:dyDescent="0.3">
      <c r="B40" s="342" t="s">
        <v>386</v>
      </c>
      <c r="C40" s="342" t="str">
        <f>IF(Realm="","",Realm)</f>
        <v>Essence</v>
      </c>
    </row>
    <row r="41" spans="2:13" ht="16.5" thickBot="1" x14ac:dyDescent="0.3">
      <c r="B41" s="813" t="str">
        <f ca="1">"Magical Expertise: Transcendence  " &amp; IF(Transcendence &gt; 0, "+"&amp; Transcendence, Transcendence)</f>
        <v>Magical Expertise: Transcendence  0</v>
      </c>
      <c r="C41" s="814"/>
      <c r="D41" s="814"/>
      <c r="E41" s="814"/>
      <c r="F41" s="814"/>
      <c r="G41" s="814"/>
      <c r="H41" s="814"/>
      <c r="I41" s="814"/>
      <c r="J41" s="814"/>
      <c r="K41" s="814"/>
      <c r="L41" s="814"/>
      <c r="M41" s="815"/>
    </row>
    <row r="42" spans="2:13" x14ac:dyDescent="0.25">
      <c r="B42" s="828"/>
      <c r="C42" s="829"/>
      <c r="D42" s="830"/>
      <c r="E42" s="807" t="s">
        <v>37</v>
      </c>
      <c r="F42" s="808"/>
      <c r="G42" s="808"/>
      <c r="H42" s="809" t="s">
        <v>301</v>
      </c>
      <c r="I42" s="809"/>
      <c r="J42" s="810"/>
      <c r="K42" s="811" t="s">
        <v>39</v>
      </c>
      <c r="L42" s="811"/>
      <c r="M42" s="812"/>
    </row>
    <row r="43" spans="2:13" x14ac:dyDescent="0.25">
      <c r="B43" s="816" t="s">
        <v>314</v>
      </c>
      <c r="C43" s="817"/>
      <c r="D43" s="817"/>
      <c r="E43" s="817"/>
      <c r="F43" s="817"/>
      <c r="G43" s="817"/>
      <c r="H43" s="817"/>
      <c r="I43" s="817"/>
      <c r="J43" s="817"/>
      <c r="K43" s="817"/>
      <c r="L43" s="817"/>
      <c r="M43" s="818"/>
    </row>
    <row r="44" spans="2:13" x14ac:dyDescent="0.25">
      <c r="B44" s="819" t="s">
        <v>315</v>
      </c>
      <c r="C44" s="820"/>
      <c r="D44" s="820"/>
      <c r="E44" s="821">
        <v>0</v>
      </c>
      <c r="F44" s="821"/>
      <c r="G44" s="821"/>
      <c r="H44" s="821">
        <v>-10</v>
      </c>
      <c r="I44" s="821"/>
      <c r="J44" s="821"/>
      <c r="K44" s="821">
        <v>-25</v>
      </c>
      <c r="L44" s="821"/>
      <c r="M44" s="836"/>
    </row>
    <row r="45" spans="2:13" x14ac:dyDescent="0.25">
      <c r="B45" s="819" t="s">
        <v>316</v>
      </c>
      <c r="C45" s="820"/>
      <c r="D45" s="820"/>
      <c r="E45" s="821">
        <v>-10</v>
      </c>
      <c r="F45" s="821"/>
      <c r="G45" s="821"/>
      <c r="H45" s="821">
        <v>-20</v>
      </c>
      <c r="I45" s="821"/>
      <c r="J45" s="821"/>
      <c r="K45" s="821">
        <v>-50</v>
      </c>
      <c r="L45" s="821"/>
      <c r="M45" s="836"/>
    </row>
    <row r="46" spans="2:13" x14ac:dyDescent="0.25">
      <c r="B46" s="819" t="s">
        <v>317</v>
      </c>
      <c r="C46" s="820"/>
      <c r="D46" s="820"/>
      <c r="E46" s="402">
        <f>IF(Character!C65="None",0,IF(Character!C65="Light",0,IF(Character!C65="Very Light",0,IF(Character!C65="Medium",-10,IF(Character!C65="Heavy",-20)))))</f>
        <v>0</v>
      </c>
      <c r="F46" s="846">
        <v>-20</v>
      </c>
      <c r="G46" s="847"/>
      <c r="H46" s="846">
        <v>-30</v>
      </c>
      <c r="I46" s="847"/>
      <c r="J46" s="402">
        <f>IF(Character!C65="None",0,IF(Character!C65="Light",-10,IF(Character!C65="Very Light",-10,IF(Character!C65="Medium",-20,IF(Character!C65="Heavy",-30)))))</f>
        <v>0</v>
      </c>
      <c r="K46" s="846">
        <v>-75</v>
      </c>
      <c r="L46" s="847"/>
      <c r="M46" s="403">
        <f>IF(Character!C65="None",0,IF(Character!C65="Light",-25,IF(Character!C65="Very Light",-25,IF(Character!C65="Medium",-50,IF(Character!C65="Heavy",-75)))))</f>
        <v>0</v>
      </c>
    </row>
    <row r="47" spans="2:13" x14ac:dyDescent="0.25">
      <c r="B47" s="816" t="s">
        <v>318</v>
      </c>
      <c r="C47" s="817"/>
      <c r="D47" s="817"/>
      <c r="E47" s="817"/>
      <c r="F47" s="817"/>
      <c r="G47" s="817"/>
      <c r="H47" s="817"/>
      <c r="I47" s="817"/>
      <c r="J47" s="817"/>
      <c r="K47" s="817"/>
      <c r="L47" s="817"/>
      <c r="M47" s="818"/>
    </row>
    <row r="48" spans="2:13" x14ac:dyDescent="0.25">
      <c r="B48" s="819" t="s">
        <v>319</v>
      </c>
      <c r="C48" s="820"/>
      <c r="D48" s="820"/>
      <c r="E48" s="821">
        <v>0</v>
      </c>
      <c r="F48" s="821"/>
      <c r="G48" s="821"/>
      <c r="H48" s="839" t="s">
        <v>320</v>
      </c>
      <c r="I48" s="840"/>
      <c r="J48" s="404">
        <f>IF(Character!I57&gt;50,-ROUNDDOWN(Character!I57-50,0)/5,0)</f>
        <v>0</v>
      </c>
      <c r="K48" s="821">
        <v>0</v>
      </c>
      <c r="L48" s="821"/>
      <c r="M48" s="836"/>
    </row>
    <row r="49" spans="2:14" x14ac:dyDescent="0.25">
      <c r="B49" s="819" t="s">
        <v>321</v>
      </c>
      <c r="C49" s="820"/>
      <c r="D49" s="820"/>
      <c r="E49" s="821">
        <v>0</v>
      </c>
      <c r="F49" s="821"/>
      <c r="G49" s="821"/>
      <c r="H49" s="839" t="s">
        <v>322</v>
      </c>
      <c r="I49" s="840"/>
      <c r="J49" s="404">
        <f>IF(Character!L57&gt;10,-2*ROUNDDOWN(Character!L57-10,0),0)</f>
        <v>0</v>
      </c>
      <c r="K49" s="821">
        <v>0</v>
      </c>
      <c r="L49" s="821"/>
      <c r="M49" s="836"/>
    </row>
    <row r="50" spans="2:14" ht="15.75" thickBot="1" x14ac:dyDescent="0.3">
      <c r="B50" s="837" t="s">
        <v>323</v>
      </c>
      <c r="C50" s="838"/>
      <c r="D50" s="838"/>
      <c r="E50" s="405">
        <f>IF(Character!M57&gt;10,-2*ROUNDDOWN(Character!M57-10,0),0)</f>
        <v>0</v>
      </c>
      <c r="F50" s="843" t="s">
        <v>322</v>
      </c>
      <c r="G50" s="842"/>
      <c r="H50" s="841" t="s">
        <v>324</v>
      </c>
      <c r="I50" s="842"/>
      <c r="J50" s="405">
        <f>IF(Character!M57&gt;5,-3*ROUNDDOWN(Character!M57-5,0),0)</f>
        <v>0</v>
      </c>
      <c r="K50" s="805">
        <v>0</v>
      </c>
      <c r="L50" s="805"/>
      <c r="M50" s="806"/>
      <c r="N50" s="308"/>
    </row>
    <row r="51" spans="2:14" ht="15.75" thickBot="1" x14ac:dyDescent="0.3">
      <c r="B51" s="342" t="s">
        <v>419</v>
      </c>
      <c r="E51" s="406">
        <f ca="1">SUM(E50+E46+E49+E48)+Skills!G53</f>
        <v>0</v>
      </c>
      <c r="J51" s="406">
        <f ca="1">SUM(J46+J48+J49+J50)+Skills!G53</f>
        <v>0</v>
      </c>
      <c r="M51" s="406">
        <f ca="1">SUM(K50+K49+K48+M46)+Skills!G53</f>
        <v>0</v>
      </c>
    </row>
    <row r="52" spans="2:14" x14ac:dyDescent="0.25">
      <c r="B52" s="831" t="s">
        <v>325</v>
      </c>
      <c r="C52" s="832"/>
      <c r="D52" s="345" t="s">
        <v>61</v>
      </c>
      <c r="E52" s="397" t="s">
        <v>9</v>
      </c>
      <c r="F52" s="309"/>
      <c r="G52" s="833" t="s">
        <v>293</v>
      </c>
      <c r="H52" s="834"/>
      <c r="I52" s="834"/>
      <c r="J52" s="834"/>
      <c r="K52" s="834"/>
      <c r="L52" s="834"/>
      <c r="M52" s="835"/>
    </row>
    <row r="53" spans="2:14" x14ac:dyDescent="0.25">
      <c r="B53" s="822" t="str">
        <f>IF(Skills!F76="","",Skills!F76)</f>
        <v/>
      </c>
      <c r="C53" s="823"/>
      <c r="D53" s="402">
        <f ca="1">Skills!H76</f>
        <v>0</v>
      </c>
      <c r="E53" s="403">
        <f ca="1">Skills!G76</f>
        <v>-9</v>
      </c>
      <c r="F53" s="309"/>
      <c r="G53" s="565"/>
      <c r="H53" s="566"/>
      <c r="I53" s="566"/>
      <c r="J53" s="566"/>
      <c r="K53" s="566"/>
      <c r="L53" s="566"/>
      <c r="M53" s="804"/>
    </row>
    <row r="54" spans="2:14" x14ac:dyDescent="0.25">
      <c r="B54" s="822" t="str">
        <f>IF(Skills!F77="","",Skills!F77)</f>
        <v/>
      </c>
      <c r="C54" s="823"/>
      <c r="D54" s="402">
        <f ca="1">Skills!H77</f>
        <v>0</v>
      </c>
      <c r="E54" s="403">
        <f ca="1">Skills!G77</f>
        <v>-9</v>
      </c>
      <c r="F54" s="309"/>
      <c r="G54" s="565"/>
      <c r="H54" s="566"/>
      <c r="I54" s="566"/>
      <c r="J54" s="566"/>
      <c r="K54" s="566"/>
      <c r="L54" s="566"/>
      <c r="M54" s="804"/>
    </row>
    <row r="55" spans="2:14" x14ac:dyDescent="0.25">
      <c r="B55" s="822" t="str">
        <f>IF(Skills!F78="","",Skills!F78)</f>
        <v/>
      </c>
      <c r="C55" s="823"/>
      <c r="D55" s="402">
        <f ca="1">Skills!H78</f>
        <v>0</v>
      </c>
      <c r="E55" s="403">
        <f ca="1">Skills!G78</f>
        <v>-9</v>
      </c>
      <c r="F55" s="309"/>
      <c r="G55" s="565"/>
      <c r="H55" s="566"/>
      <c r="I55" s="566"/>
      <c r="J55" s="566"/>
      <c r="K55" s="566"/>
      <c r="L55" s="566"/>
      <c r="M55" s="804"/>
    </row>
    <row r="56" spans="2:14" x14ac:dyDescent="0.25">
      <c r="B56" s="822" t="str">
        <f>IF(Skills!F79="","",Skills!F79)</f>
        <v/>
      </c>
      <c r="C56" s="823"/>
      <c r="D56" s="402">
        <f ca="1">Skills!H79</f>
        <v>0</v>
      </c>
      <c r="E56" s="403">
        <f ca="1">Skills!G79</f>
        <v>-9</v>
      </c>
      <c r="F56" s="309"/>
      <c r="G56" s="565"/>
      <c r="H56" s="566"/>
      <c r="I56" s="566"/>
      <c r="J56" s="566"/>
      <c r="K56" s="566"/>
      <c r="L56" s="566"/>
      <c r="M56" s="804"/>
    </row>
    <row r="57" spans="2:14" ht="15.75" thickBot="1" x14ac:dyDescent="0.3">
      <c r="B57" s="844" t="str">
        <f>IF(Skills!F80="","",Skills!F80)</f>
        <v/>
      </c>
      <c r="C57" s="845"/>
      <c r="D57" s="407">
        <f ca="1">Skills!H80</f>
        <v>0</v>
      </c>
      <c r="E57" s="408">
        <f ca="1">Skills!G80</f>
        <v>-9</v>
      </c>
      <c r="F57" s="309"/>
      <c r="G57" s="848"/>
      <c r="H57" s="849"/>
      <c r="I57" s="849"/>
      <c r="J57" s="849"/>
      <c r="K57" s="849"/>
      <c r="L57" s="849"/>
      <c r="M57" s="850"/>
    </row>
  </sheetData>
  <sheetProtection sheet="1" objects="1" scenarios="1"/>
  <mergeCells count="104">
    <mergeCell ref="P4:U4"/>
    <mergeCell ref="O5:O8"/>
    <mergeCell ref="P5:P8"/>
    <mergeCell ref="Q5:U6"/>
    <mergeCell ref="Q7:Q8"/>
    <mergeCell ref="R7:R8"/>
    <mergeCell ref="S7:S8"/>
    <mergeCell ref="T7:T8"/>
    <mergeCell ref="U7:U8"/>
    <mergeCell ref="G4:M4"/>
    <mergeCell ref="G24:M24"/>
    <mergeCell ref="G23:M23"/>
    <mergeCell ref="M7:M8"/>
    <mergeCell ref="H25:I25"/>
    <mergeCell ref="J25:K25"/>
    <mergeCell ref="L25:M25"/>
    <mergeCell ref="G5:G8"/>
    <mergeCell ref="H5:H8"/>
    <mergeCell ref="I5:M6"/>
    <mergeCell ref="I7:I8"/>
    <mergeCell ref="J7:J8"/>
    <mergeCell ref="K7:K8"/>
    <mergeCell ref="L7:L8"/>
    <mergeCell ref="G26:M26"/>
    <mergeCell ref="H27:I27"/>
    <mergeCell ref="J27:K27"/>
    <mergeCell ref="L27:M27"/>
    <mergeCell ref="H28:I28"/>
    <mergeCell ref="J28:K28"/>
    <mergeCell ref="L28:M28"/>
    <mergeCell ref="H29:I29"/>
    <mergeCell ref="J29:K29"/>
    <mergeCell ref="L29:M29"/>
    <mergeCell ref="H30:I30"/>
    <mergeCell ref="J30:K30"/>
    <mergeCell ref="L30:M30"/>
    <mergeCell ref="G31:M31"/>
    <mergeCell ref="H32:I32"/>
    <mergeCell ref="J32:K32"/>
    <mergeCell ref="L32:M32"/>
    <mergeCell ref="H33:I33"/>
    <mergeCell ref="J33:K33"/>
    <mergeCell ref="L33:M33"/>
    <mergeCell ref="H34:I34"/>
    <mergeCell ref="J34:K34"/>
    <mergeCell ref="L34:M34"/>
    <mergeCell ref="G35:M35"/>
    <mergeCell ref="H36:I36"/>
    <mergeCell ref="J36:K36"/>
    <mergeCell ref="L36:M36"/>
    <mergeCell ref="B57:C57"/>
    <mergeCell ref="B48:D48"/>
    <mergeCell ref="E48:G48"/>
    <mergeCell ref="K48:M48"/>
    <mergeCell ref="B45:D45"/>
    <mergeCell ref="E45:G45"/>
    <mergeCell ref="H45:J45"/>
    <mergeCell ref="K45:M45"/>
    <mergeCell ref="B46:D46"/>
    <mergeCell ref="B47:M47"/>
    <mergeCell ref="H48:I48"/>
    <mergeCell ref="F46:G46"/>
    <mergeCell ref="H46:I46"/>
    <mergeCell ref="K46:L46"/>
    <mergeCell ref="G56:M56"/>
    <mergeCell ref="G57:M57"/>
    <mergeCell ref="K49:M49"/>
    <mergeCell ref="B50:D50"/>
    <mergeCell ref="K50:M50"/>
    <mergeCell ref="H49:I49"/>
    <mergeCell ref="H50:I50"/>
    <mergeCell ref="F50:G50"/>
    <mergeCell ref="B55:C55"/>
    <mergeCell ref="B56:C56"/>
    <mergeCell ref="B2:F3"/>
    <mergeCell ref="B42:D42"/>
    <mergeCell ref="B52:C52"/>
    <mergeCell ref="B49:D49"/>
    <mergeCell ref="E49:G49"/>
    <mergeCell ref="G52:M52"/>
    <mergeCell ref="H44:J44"/>
    <mergeCell ref="K44:M44"/>
    <mergeCell ref="H37:I37"/>
    <mergeCell ref="J37:K37"/>
    <mergeCell ref="L37:M37"/>
    <mergeCell ref="H38:I38"/>
    <mergeCell ref="J38:K38"/>
    <mergeCell ref="L38:M38"/>
    <mergeCell ref="K2:M3"/>
    <mergeCell ref="G53:M53"/>
    <mergeCell ref="G54:M54"/>
    <mergeCell ref="G55:M55"/>
    <mergeCell ref="H39:I39"/>
    <mergeCell ref="J39:K39"/>
    <mergeCell ref="L39:M39"/>
    <mergeCell ref="E42:G42"/>
    <mergeCell ref="H42:J42"/>
    <mergeCell ref="K42:M42"/>
    <mergeCell ref="B41:M41"/>
    <mergeCell ref="B43:M43"/>
    <mergeCell ref="B44:D44"/>
    <mergeCell ref="E44:G44"/>
    <mergeCell ref="B53:C53"/>
    <mergeCell ref="B54:C54"/>
  </mergeCells>
  <conditionalFormatting sqref="B5:B39">
    <cfRule type="cellIs" dxfId="8" priority="12" operator="equal">
      <formula>"Skills!c2=0"</formula>
    </cfRule>
  </conditionalFormatting>
  <conditionalFormatting sqref="H27:I30 H32:I34 H36:I39 E50:E51 E46">
    <cfRule type="expression" dxfId="7" priority="8">
      <formula>IF($C$40="Channeling",2,0)</formula>
    </cfRule>
  </conditionalFormatting>
  <conditionalFormatting sqref="L27:M30 L32:M34 L36:M39 M46 K48:M50 M51">
    <cfRule type="expression" dxfId="6" priority="7">
      <formula>IF($C$40="Mentalism",2,0)</formula>
    </cfRule>
  </conditionalFormatting>
  <conditionalFormatting sqref="J27:K30 J32:K34 J36:K39 J46 J48:J51">
    <cfRule type="expression" dxfId="5" priority="5">
      <formula>IF($C$40="Chan/Ess",2,0)</formula>
    </cfRule>
    <cfRule type="expression" dxfId="4" priority="6">
      <formula>IF($C$40="Essence",2,0)</formula>
    </cfRule>
  </conditionalFormatting>
  <conditionalFormatting sqref="J27:K30 J32:K34 J36:K39 M46 J48:J51">
    <cfRule type="expression" dxfId="3" priority="4">
      <formula>IF($C$40="Ess/Ment",2,0)</formula>
    </cfRule>
  </conditionalFormatting>
  <conditionalFormatting sqref="H27:I30 H32:I34 H36:I39 M46 E48:G49 E50:E51">
    <cfRule type="expression" dxfId="2" priority="2">
      <formula>IF($C$40="Chan/Ment",2,0)</formula>
    </cfRule>
  </conditionalFormatting>
  <conditionalFormatting sqref="J27:K30 J32:K34 J36:K39 M46 J48:J51">
    <cfRule type="expression" dxfId="1" priority="1">
      <formula>IF($C$40="Chan/Ess/Ment",2,0)</formula>
    </cfRule>
  </conditionalFormatting>
  <printOptions horizontalCentered="1"/>
  <pageMargins left="0.51181102362204722" right="0.51181102362204722" top="0.74803149606299213" bottom="0.74803149606299213" header="0.31496062992125984" footer="0.31496062992125984"/>
  <pageSetup paperSize="9" scale="90" orientation="portrait" horizont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L134"/>
  <sheetViews>
    <sheetView showGridLines="0" workbookViewId="0">
      <pane xSplit="14" ySplit="3" topLeftCell="O75" activePane="bottomRight" state="frozenSplit"/>
      <selection pane="topRight" activeCell="X1" sqref="X1"/>
      <selection pane="bottomLeft" activeCell="A19" sqref="A19"/>
      <selection pane="bottomRight" activeCell="F83" sqref="F83"/>
    </sheetView>
  </sheetViews>
  <sheetFormatPr defaultRowHeight="15" x14ac:dyDescent="0.25"/>
  <cols>
    <col min="1" max="1" width="3.85546875" customWidth="1"/>
    <col min="2" max="2" width="3.85546875" style="6" customWidth="1"/>
    <col min="3" max="3" width="3.140625" customWidth="1"/>
    <col min="4" max="4" width="20.5703125" hidden="1" customWidth="1"/>
    <col min="5" max="5" width="16.5703125" customWidth="1"/>
    <col min="6" max="6" width="14.42578125" bestFit="1" customWidth="1"/>
    <col min="7" max="7" width="8.42578125" style="6" bestFit="1" customWidth="1"/>
    <col min="8" max="8" width="6.140625" style="6" bestFit="1" customWidth="1"/>
    <col min="9" max="9" width="3.7109375" style="6" bestFit="1" customWidth="1"/>
    <col min="10" max="11" width="5.5703125" style="6" bestFit="1" customWidth="1"/>
    <col min="12" max="12" width="3.7109375" style="6" bestFit="1" customWidth="1"/>
    <col min="13" max="13" width="10.7109375" style="6" bestFit="1" customWidth="1"/>
    <col min="14" max="14" width="9.140625" style="6"/>
    <col min="15" max="20" width="4.7109375" style="6" customWidth="1"/>
    <col min="21" max="27" width="4.7109375" customWidth="1"/>
    <col min="28" max="65" width="4.7109375" style="6" customWidth="1"/>
    <col min="66" max="66" width="13" customWidth="1"/>
    <col min="67" max="73" width="4.7109375" style="6" customWidth="1"/>
    <col min="74" max="117" width="4.7109375" customWidth="1"/>
    <col min="118" max="118" width="5.42578125" customWidth="1"/>
    <col min="119" max="141" width="4.42578125" customWidth="1"/>
  </cols>
  <sheetData>
    <row r="1" spans="2:142" ht="15.75" thickBot="1" x14ac:dyDescent="0.3"/>
    <row r="2" spans="2:142" ht="72" customHeight="1" thickBot="1" x14ac:dyDescent="0.3">
      <c r="B2" s="26"/>
      <c r="C2" s="13"/>
      <c r="D2" s="13"/>
      <c r="E2" s="13"/>
      <c r="F2" s="13"/>
      <c r="G2" s="149"/>
      <c r="H2" s="149"/>
      <c r="I2" s="870" t="s">
        <v>179</v>
      </c>
      <c r="J2" s="870"/>
      <c r="K2" s="870"/>
      <c r="L2" s="870"/>
      <c r="M2" s="310"/>
      <c r="N2" s="871" t="s">
        <v>176</v>
      </c>
      <c r="O2" s="871"/>
      <c r="P2" s="240">
        <f>SUM(BQ4:BQ126,BQ128:BQ137)</f>
        <v>12</v>
      </c>
      <c r="Q2" s="240">
        <f>SUM(BR4:BR126,BR128:BR137)</f>
        <v>0</v>
      </c>
      <c r="R2" s="240">
        <f t="shared" ref="R2:BM2" si="0">SUM(BS4:BS126,BS128:BS137)</f>
        <v>0</v>
      </c>
      <c r="S2" s="240">
        <f t="shared" si="0"/>
        <v>0</v>
      </c>
      <c r="T2" s="240">
        <f t="shared" si="0"/>
        <v>0</v>
      </c>
      <c r="U2" s="240">
        <f t="shared" si="0"/>
        <v>0</v>
      </c>
      <c r="V2" s="240">
        <f t="shared" si="0"/>
        <v>0</v>
      </c>
      <c r="W2" s="240">
        <f t="shared" si="0"/>
        <v>0</v>
      </c>
      <c r="X2" s="240">
        <f t="shared" si="0"/>
        <v>0</v>
      </c>
      <c r="Y2" s="240">
        <f t="shared" si="0"/>
        <v>0</v>
      </c>
      <c r="Z2" s="240">
        <f t="shared" si="0"/>
        <v>0</v>
      </c>
      <c r="AA2" s="240">
        <f t="shared" si="0"/>
        <v>0</v>
      </c>
      <c r="AB2" s="240">
        <f t="shared" si="0"/>
        <v>0</v>
      </c>
      <c r="AC2" s="240">
        <f t="shared" si="0"/>
        <v>0</v>
      </c>
      <c r="AD2" s="240">
        <f t="shared" si="0"/>
        <v>0</v>
      </c>
      <c r="AE2" s="240">
        <f t="shared" si="0"/>
        <v>0</v>
      </c>
      <c r="AF2" s="240">
        <f t="shared" si="0"/>
        <v>0</v>
      </c>
      <c r="AG2" s="240">
        <f t="shared" si="0"/>
        <v>0</v>
      </c>
      <c r="AH2" s="240">
        <f t="shared" si="0"/>
        <v>0</v>
      </c>
      <c r="AI2" s="240">
        <f t="shared" si="0"/>
        <v>0</v>
      </c>
      <c r="AJ2" s="240">
        <f t="shared" si="0"/>
        <v>0</v>
      </c>
      <c r="AK2" s="240">
        <f t="shared" si="0"/>
        <v>0</v>
      </c>
      <c r="AL2" s="240">
        <f t="shared" si="0"/>
        <v>0</v>
      </c>
      <c r="AM2" s="240">
        <f t="shared" si="0"/>
        <v>0</v>
      </c>
      <c r="AN2" s="240">
        <f t="shared" si="0"/>
        <v>0</v>
      </c>
      <c r="AO2" s="240">
        <f t="shared" si="0"/>
        <v>0</v>
      </c>
      <c r="AP2" s="240">
        <f t="shared" si="0"/>
        <v>0</v>
      </c>
      <c r="AQ2" s="240">
        <f t="shared" si="0"/>
        <v>0</v>
      </c>
      <c r="AR2" s="240">
        <f t="shared" si="0"/>
        <v>0</v>
      </c>
      <c r="AS2" s="240">
        <f t="shared" si="0"/>
        <v>0</v>
      </c>
      <c r="AT2" s="240">
        <f t="shared" si="0"/>
        <v>0</v>
      </c>
      <c r="AU2" s="240">
        <f t="shared" si="0"/>
        <v>0</v>
      </c>
      <c r="AV2" s="240">
        <f t="shared" si="0"/>
        <v>0</v>
      </c>
      <c r="AW2" s="240">
        <f t="shared" si="0"/>
        <v>0</v>
      </c>
      <c r="AX2" s="240">
        <f t="shared" si="0"/>
        <v>0</v>
      </c>
      <c r="AY2" s="240">
        <f t="shared" si="0"/>
        <v>0</v>
      </c>
      <c r="AZ2" s="240">
        <f t="shared" si="0"/>
        <v>0</v>
      </c>
      <c r="BA2" s="240">
        <f t="shared" si="0"/>
        <v>0</v>
      </c>
      <c r="BB2" s="240">
        <f t="shared" si="0"/>
        <v>0</v>
      </c>
      <c r="BC2" s="240">
        <f t="shared" si="0"/>
        <v>0</v>
      </c>
      <c r="BD2" s="240">
        <f t="shared" si="0"/>
        <v>0</v>
      </c>
      <c r="BE2" s="240">
        <f t="shared" si="0"/>
        <v>0</v>
      </c>
      <c r="BF2" s="240">
        <f t="shared" si="0"/>
        <v>0</v>
      </c>
      <c r="BG2" s="240">
        <f t="shared" si="0"/>
        <v>0</v>
      </c>
      <c r="BH2" s="240">
        <f t="shared" si="0"/>
        <v>0</v>
      </c>
      <c r="BI2" s="240">
        <f t="shared" si="0"/>
        <v>0</v>
      </c>
      <c r="BJ2" s="240">
        <f t="shared" si="0"/>
        <v>0</v>
      </c>
      <c r="BK2" s="240">
        <f t="shared" si="0"/>
        <v>0</v>
      </c>
      <c r="BL2" s="240">
        <f t="shared" si="0"/>
        <v>0</v>
      </c>
      <c r="BM2" s="240">
        <f t="shared" si="0"/>
        <v>0</v>
      </c>
      <c r="BN2" s="111"/>
      <c r="BO2" s="26"/>
      <c r="BP2" s="149"/>
      <c r="BQ2" s="149">
        <f>SUM(BQ5:BQ134)</f>
        <v>12</v>
      </c>
      <c r="BR2" s="310">
        <f t="shared" ref="BR2:DN2" si="1">SUM(BR5:BR134)</f>
        <v>0</v>
      </c>
      <c r="BS2" s="310">
        <f t="shared" si="1"/>
        <v>0</v>
      </c>
      <c r="BT2" s="310">
        <f t="shared" si="1"/>
        <v>0</v>
      </c>
      <c r="BU2" s="310">
        <f t="shared" si="1"/>
        <v>0</v>
      </c>
      <c r="BV2" s="310">
        <f t="shared" si="1"/>
        <v>0</v>
      </c>
      <c r="BW2" s="310">
        <f t="shared" si="1"/>
        <v>0</v>
      </c>
      <c r="BX2" s="310">
        <f t="shared" si="1"/>
        <v>0</v>
      </c>
      <c r="BY2" s="310">
        <f t="shared" si="1"/>
        <v>0</v>
      </c>
      <c r="BZ2" s="310">
        <f t="shared" si="1"/>
        <v>0</v>
      </c>
      <c r="CA2" s="310">
        <f t="shared" si="1"/>
        <v>0</v>
      </c>
      <c r="CB2" s="310">
        <f t="shared" si="1"/>
        <v>0</v>
      </c>
      <c r="CC2" s="310">
        <f t="shared" si="1"/>
        <v>0</v>
      </c>
      <c r="CD2" s="310">
        <f t="shared" si="1"/>
        <v>0</v>
      </c>
      <c r="CE2" s="310">
        <f t="shared" si="1"/>
        <v>0</v>
      </c>
      <c r="CF2" s="310">
        <f t="shared" si="1"/>
        <v>0</v>
      </c>
      <c r="CG2" s="310">
        <f t="shared" si="1"/>
        <v>0</v>
      </c>
      <c r="CH2" s="310">
        <f t="shared" si="1"/>
        <v>0</v>
      </c>
      <c r="CI2" s="310">
        <f t="shared" si="1"/>
        <v>0</v>
      </c>
      <c r="CJ2" s="310">
        <f t="shared" si="1"/>
        <v>0</v>
      </c>
      <c r="CK2" s="310">
        <f t="shared" si="1"/>
        <v>0</v>
      </c>
      <c r="CL2" s="310">
        <f t="shared" si="1"/>
        <v>0</v>
      </c>
      <c r="CM2" s="310">
        <f t="shared" si="1"/>
        <v>0</v>
      </c>
      <c r="CN2" s="310">
        <f t="shared" si="1"/>
        <v>0</v>
      </c>
      <c r="CO2" s="310">
        <f t="shared" si="1"/>
        <v>0</v>
      </c>
      <c r="CP2" s="310">
        <f t="shared" si="1"/>
        <v>0</v>
      </c>
      <c r="CQ2" s="310">
        <f t="shared" si="1"/>
        <v>0</v>
      </c>
      <c r="CR2" s="310">
        <f t="shared" si="1"/>
        <v>0</v>
      </c>
      <c r="CS2" s="310">
        <f t="shared" si="1"/>
        <v>0</v>
      </c>
      <c r="CT2" s="310">
        <f t="shared" si="1"/>
        <v>0</v>
      </c>
      <c r="CU2" s="310">
        <f t="shared" si="1"/>
        <v>0</v>
      </c>
      <c r="CV2" s="310">
        <f t="shared" si="1"/>
        <v>0</v>
      </c>
      <c r="CW2" s="310">
        <f t="shared" si="1"/>
        <v>0</v>
      </c>
      <c r="CX2" s="310">
        <f t="shared" si="1"/>
        <v>0</v>
      </c>
      <c r="CY2" s="310">
        <f t="shared" si="1"/>
        <v>0</v>
      </c>
      <c r="CZ2" s="310">
        <f t="shared" si="1"/>
        <v>0</v>
      </c>
      <c r="DA2" s="310">
        <f t="shared" si="1"/>
        <v>0</v>
      </c>
      <c r="DB2" s="310">
        <f t="shared" si="1"/>
        <v>0</v>
      </c>
      <c r="DC2" s="310">
        <f t="shared" si="1"/>
        <v>0</v>
      </c>
      <c r="DD2" s="310">
        <f t="shared" si="1"/>
        <v>0</v>
      </c>
      <c r="DE2" s="310">
        <f t="shared" si="1"/>
        <v>0</v>
      </c>
      <c r="DF2" s="310">
        <f t="shared" si="1"/>
        <v>0</v>
      </c>
      <c r="DG2" s="310">
        <f t="shared" si="1"/>
        <v>0</v>
      </c>
      <c r="DH2" s="310">
        <f t="shared" si="1"/>
        <v>0</v>
      </c>
      <c r="DI2" s="310">
        <f t="shared" si="1"/>
        <v>0</v>
      </c>
      <c r="DJ2" s="310">
        <f t="shared" si="1"/>
        <v>0</v>
      </c>
      <c r="DK2" s="310">
        <f t="shared" si="1"/>
        <v>0</v>
      </c>
      <c r="DL2" s="310">
        <f t="shared" si="1"/>
        <v>0</v>
      </c>
      <c r="DM2" s="310">
        <f t="shared" si="1"/>
        <v>0</v>
      </c>
      <c r="DN2" s="310">
        <f t="shared" si="1"/>
        <v>0</v>
      </c>
      <c r="DO2" s="28"/>
    </row>
    <row r="3" spans="2:142" ht="72" thickBot="1" x14ac:dyDescent="0.3">
      <c r="B3" s="67" t="s">
        <v>212</v>
      </c>
      <c r="C3" s="68"/>
      <c r="D3" s="10" t="s">
        <v>174</v>
      </c>
      <c r="E3" s="10" t="s">
        <v>60</v>
      </c>
      <c r="F3" s="11" t="s">
        <v>54</v>
      </c>
      <c r="G3" s="11" t="s">
        <v>9</v>
      </c>
      <c r="H3" s="11" t="s">
        <v>61</v>
      </c>
      <c r="I3" s="12" t="s">
        <v>56</v>
      </c>
      <c r="J3" s="12" t="s">
        <v>57</v>
      </c>
      <c r="K3" s="12" t="s">
        <v>58</v>
      </c>
      <c r="L3" s="12" t="s">
        <v>11</v>
      </c>
      <c r="M3" s="11" t="s">
        <v>55</v>
      </c>
      <c r="N3" s="11" t="s">
        <v>59</v>
      </c>
      <c r="O3" s="12" t="s">
        <v>114</v>
      </c>
      <c r="P3" s="11">
        <v>1</v>
      </c>
      <c r="Q3" s="11">
        <v>2</v>
      </c>
      <c r="R3" s="11">
        <v>3</v>
      </c>
      <c r="S3" s="11">
        <v>4</v>
      </c>
      <c r="T3" s="11">
        <v>5</v>
      </c>
      <c r="U3" s="30">
        <v>6</v>
      </c>
      <c r="V3" s="30">
        <v>7</v>
      </c>
      <c r="W3" s="30">
        <v>8</v>
      </c>
      <c r="X3" s="30">
        <v>9</v>
      </c>
      <c r="Y3" s="30">
        <v>10</v>
      </c>
      <c r="Z3" s="30">
        <v>11</v>
      </c>
      <c r="AA3" s="30">
        <v>12</v>
      </c>
      <c r="AB3" s="30">
        <v>13</v>
      </c>
      <c r="AC3" s="30">
        <v>14</v>
      </c>
      <c r="AD3" s="30">
        <v>15</v>
      </c>
      <c r="AE3" s="30">
        <v>16</v>
      </c>
      <c r="AF3" s="30">
        <v>17</v>
      </c>
      <c r="AG3" s="30">
        <v>18</v>
      </c>
      <c r="AH3" s="30">
        <v>19</v>
      </c>
      <c r="AI3" s="30">
        <v>20</v>
      </c>
      <c r="AJ3" s="30">
        <v>21</v>
      </c>
      <c r="AK3" s="30">
        <v>22</v>
      </c>
      <c r="AL3" s="30">
        <v>23</v>
      </c>
      <c r="AM3" s="30">
        <v>24</v>
      </c>
      <c r="AN3" s="30">
        <v>25</v>
      </c>
      <c r="AO3" s="30">
        <v>26</v>
      </c>
      <c r="AP3" s="30">
        <v>27</v>
      </c>
      <c r="AQ3" s="30">
        <v>28</v>
      </c>
      <c r="AR3" s="30">
        <v>29</v>
      </c>
      <c r="AS3" s="30">
        <v>30</v>
      </c>
      <c r="AT3" s="30">
        <v>31</v>
      </c>
      <c r="AU3" s="30">
        <v>32</v>
      </c>
      <c r="AV3" s="30">
        <v>33</v>
      </c>
      <c r="AW3" s="30">
        <v>34</v>
      </c>
      <c r="AX3" s="30">
        <v>35</v>
      </c>
      <c r="AY3" s="30">
        <v>36</v>
      </c>
      <c r="AZ3" s="30">
        <v>37</v>
      </c>
      <c r="BA3" s="30">
        <v>38</v>
      </c>
      <c r="BB3" s="30">
        <v>39</v>
      </c>
      <c r="BC3" s="30">
        <v>40</v>
      </c>
      <c r="BD3" s="30">
        <v>41</v>
      </c>
      <c r="BE3" s="30">
        <v>42</v>
      </c>
      <c r="BF3" s="30">
        <v>43</v>
      </c>
      <c r="BG3" s="30">
        <v>44</v>
      </c>
      <c r="BH3" s="30">
        <v>45</v>
      </c>
      <c r="BI3" s="30">
        <v>46</v>
      </c>
      <c r="BJ3" s="30">
        <v>47</v>
      </c>
      <c r="BK3" s="30">
        <v>48</v>
      </c>
      <c r="BL3" s="30">
        <v>49</v>
      </c>
      <c r="BM3" s="31">
        <v>50</v>
      </c>
      <c r="BN3" s="113" t="s">
        <v>676</v>
      </c>
      <c r="BO3" s="29" t="s">
        <v>177</v>
      </c>
      <c r="BP3" s="19" t="s">
        <v>178</v>
      </c>
      <c r="BQ3" s="150">
        <v>1</v>
      </c>
      <c r="BR3" s="150">
        <v>2</v>
      </c>
      <c r="BS3" s="150">
        <v>3</v>
      </c>
      <c r="BT3" s="150">
        <v>4</v>
      </c>
      <c r="BU3" s="150">
        <v>5</v>
      </c>
      <c r="BV3" s="25">
        <v>6</v>
      </c>
      <c r="BW3" s="25">
        <v>7</v>
      </c>
      <c r="BX3" s="25">
        <v>8</v>
      </c>
      <c r="BY3" s="25">
        <v>9</v>
      </c>
      <c r="BZ3" s="25">
        <v>10</v>
      </c>
      <c r="CA3" s="25">
        <v>11</v>
      </c>
      <c r="CB3" s="25">
        <v>12</v>
      </c>
      <c r="CC3" s="25">
        <v>13</v>
      </c>
      <c r="CD3" s="25">
        <v>14</v>
      </c>
      <c r="CE3" s="25">
        <v>15</v>
      </c>
      <c r="CF3" s="25">
        <v>16</v>
      </c>
      <c r="CG3" s="25">
        <v>17</v>
      </c>
      <c r="CH3" s="25">
        <v>18</v>
      </c>
      <c r="CI3" s="25">
        <v>19</v>
      </c>
      <c r="CJ3" s="25">
        <v>20</v>
      </c>
      <c r="CK3" s="25">
        <v>21</v>
      </c>
      <c r="CL3" s="25">
        <v>22</v>
      </c>
      <c r="CM3" s="25">
        <v>23</v>
      </c>
      <c r="CN3" s="25">
        <v>24</v>
      </c>
      <c r="CO3" s="25">
        <v>25</v>
      </c>
      <c r="CP3" s="25">
        <v>26</v>
      </c>
      <c r="CQ3" s="25">
        <v>27</v>
      </c>
      <c r="CR3" s="25">
        <v>28</v>
      </c>
      <c r="CS3" s="25">
        <v>29</v>
      </c>
      <c r="CT3" s="25">
        <v>30</v>
      </c>
      <c r="CU3" s="25">
        <v>31</v>
      </c>
      <c r="CV3" s="25">
        <v>32</v>
      </c>
      <c r="CW3" s="25">
        <v>33</v>
      </c>
      <c r="CX3" s="25">
        <v>34</v>
      </c>
      <c r="CY3" s="25">
        <v>35</v>
      </c>
      <c r="CZ3" s="25">
        <v>36</v>
      </c>
      <c r="DA3" s="25">
        <v>37</v>
      </c>
      <c r="DB3" s="25">
        <v>38</v>
      </c>
      <c r="DC3" s="25">
        <v>39</v>
      </c>
      <c r="DD3" s="25">
        <v>40</v>
      </c>
      <c r="DE3" s="25">
        <v>41</v>
      </c>
      <c r="DF3" s="25">
        <v>42</v>
      </c>
      <c r="DG3" s="25">
        <v>43</v>
      </c>
      <c r="DH3" s="25">
        <v>44</v>
      </c>
      <c r="DI3" s="25">
        <v>45</v>
      </c>
      <c r="DJ3" s="25">
        <v>46</v>
      </c>
      <c r="DK3" s="25">
        <v>47</v>
      </c>
      <c r="DL3" s="25">
        <v>48</v>
      </c>
      <c r="DM3" s="25">
        <v>49</v>
      </c>
      <c r="DN3" s="25">
        <v>50</v>
      </c>
      <c r="DO3" s="163" t="s">
        <v>115</v>
      </c>
      <c r="DP3" s="139" t="s">
        <v>116</v>
      </c>
      <c r="DQ3" s="139" t="s">
        <v>117</v>
      </c>
      <c r="DR3" s="139" t="s">
        <v>118</v>
      </c>
      <c r="DS3" s="139" t="s">
        <v>119</v>
      </c>
      <c r="DT3" s="139" t="s">
        <v>120</v>
      </c>
      <c r="DU3" s="139" t="s">
        <v>121</v>
      </c>
      <c r="DV3" s="139" t="s">
        <v>122</v>
      </c>
      <c r="DW3" s="139" t="s">
        <v>123</v>
      </c>
      <c r="DX3" s="139" t="s">
        <v>124</v>
      </c>
      <c r="DY3" s="139" t="s">
        <v>125</v>
      </c>
      <c r="DZ3" s="139" t="s">
        <v>126</v>
      </c>
      <c r="EA3" s="139" t="s">
        <v>127</v>
      </c>
      <c r="EB3" s="139" t="s">
        <v>128</v>
      </c>
      <c r="EC3" s="139" t="s">
        <v>129</v>
      </c>
      <c r="ED3" s="139" t="s">
        <v>130</v>
      </c>
      <c r="EE3" s="139" t="s">
        <v>131</v>
      </c>
      <c r="EF3" s="139" t="s">
        <v>36</v>
      </c>
      <c r="EG3" s="139" t="s">
        <v>132</v>
      </c>
      <c r="EH3" s="139" t="s">
        <v>133</v>
      </c>
      <c r="EI3" s="139" t="s">
        <v>134</v>
      </c>
      <c r="EJ3" s="140" t="s">
        <v>135</v>
      </c>
      <c r="EK3" s="24" t="s">
        <v>248</v>
      </c>
      <c r="EL3" s="25"/>
    </row>
    <row r="4" spans="2:142" x14ac:dyDescent="0.25">
      <c r="B4" s="69"/>
      <c r="C4" s="32" t="s">
        <v>62</v>
      </c>
      <c r="D4" s="32"/>
      <c r="E4" s="32"/>
      <c r="F4" s="32"/>
      <c r="G4" s="33"/>
      <c r="H4" s="33"/>
      <c r="I4" s="33"/>
      <c r="J4" s="33"/>
      <c r="K4" s="33"/>
      <c r="L4" s="33"/>
      <c r="M4" s="33"/>
      <c r="N4" s="33"/>
      <c r="O4" s="33"/>
      <c r="P4" s="33"/>
      <c r="Q4" s="33"/>
      <c r="R4" s="33"/>
      <c r="S4" s="33"/>
      <c r="T4" s="33"/>
      <c r="U4" s="35"/>
      <c r="V4" s="35"/>
      <c r="W4" s="35"/>
      <c r="X4" s="35"/>
      <c r="Y4" s="35"/>
      <c r="Z4" s="35"/>
      <c r="AA4" s="35"/>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4"/>
      <c r="BO4" s="27" t="str">
        <f t="shared" ref="BO4:BO35" si="2">IF(N4="","",MID(N4,1,FIND("/",N4)-1))</f>
        <v/>
      </c>
      <c r="BP4" s="8" t="str">
        <f t="shared" ref="BP4:BP35" si="3">IF(N4="","",MID(N4,FIND("/",N4)+1,LEN(N4)))</f>
        <v/>
      </c>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161"/>
      <c r="DP4" s="160"/>
      <c r="DQ4" s="160"/>
      <c r="DR4" s="160"/>
      <c r="DS4" s="160"/>
      <c r="DT4" s="160"/>
      <c r="DU4" s="160"/>
      <c r="DV4" s="160"/>
      <c r="DW4" s="160"/>
      <c r="DX4" s="160"/>
      <c r="DY4" s="160"/>
      <c r="DZ4" s="160"/>
      <c r="EA4" s="160"/>
      <c r="EB4" s="160"/>
      <c r="EC4" s="160"/>
      <c r="ED4" s="160"/>
      <c r="EE4" s="160"/>
      <c r="EF4" s="160"/>
      <c r="EG4" s="160"/>
      <c r="EH4" s="160"/>
      <c r="EI4" s="160"/>
      <c r="EJ4" s="160"/>
      <c r="EK4" s="161"/>
    </row>
    <row r="5" spans="2:142" x14ac:dyDescent="0.25">
      <c r="B5" s="69" t="str">
        <f>IF(Profession="","",IF(HLOOKUP(Profession,Skills!$DO$3:$EK$126,ROW(D5)-2,FALSE)="","",HLOOKUP(Profession,Skills!$DO$3:$EK$126,ROW(D5)-2,FALSE)))</f>
        <v/>
      </c>
      <c r="C5" s="32"/>
      <c r="D5" s="35" t="s">
        <v>68</v>
      </c>
      <c r="E5" s="35" t="str">
        <f t="shared" ref="E5:E17" si="4">D5</f>
        <v>Linguistics</v>
      </c>
      <c r="F5" s="164"/>
      <c r="G5" s="33">
        <f t="shared" ref="G5:G95" ca="1" si="5">SUM(I5:L5)</f>
        <v>-25</v>
      </c>
      <c r="H5" s="33">
        <f ca="1">SUM(O5:(OFFSET(O5,0,Level)))</f>
        <v>0</v>
      </c>
      <c r="I5" s="33">
        <f t="shared" ref="I5:I17" ca="1" si="6">IF(Level=0,"",VLOOKUP(H5,RankBonus,2,FALSE))</f>
        <v>-25</v>
      </c>
      <c r="J5" s="33">
        <f t="shared" ref="J5:J45" si="7">IF(OR(M5="",M5="-"),0,VLOOKUP(MID(M5,1,2),StatBonuses,2,FALSE)+VLOOKUP(MID(M5,4,2),StatBonuses,2,FALSE)+VLOOKUP(MID(M5,7,2),StatBonuses,2,FALSE))</f>
        <v>0</v>
      </c>
      <c r="K5" s="33">
        <f t="shared" ref="K5:K17" ca="1" si="8">IF(Profession="",0,IF(Profession="No Profession",IF(B5="x",H5,0),(VLOOKUP(D5,PBSkills,MATCH(Profession,Professions,0)+2,FALSE)*H5)))</f>
        <v>0</v>
      </c>
      <c r="L5" s="168"/>
      <c r="M5" s="33" t="str">
        <f t="shared" ref="M5:M45" si="9">IF(D5="","",VLOOKUP(D5,DPCosts,2,FALSE))</f>
        <v>Me/Me/Re</v>
      </c>
      <c r="N5" s="33" t="str">
        <f>IF(OR(D5="", Profession=""),"",VLOOKUP(D5,DPCosts,MATCH(Profession,Professions,0)+2,FALSE))</f>
        <v>3/5</v>
      </c>
      <c r="O5" s="172"/>
      <c r="P5" s="168"/>
      <c r="Q5" s="168"/>
      <c r="R5" s="168"/>
      <c r="S5" s="168"/>
      <c r="T5" s="168"/>
      <c r="U5" s="164"/>
      <c r="V5" s="164"/>
      <c r="W5" s="164"/>
      <c r="X5" s="164"/>
      <c r="Y5" s="164"/>
      <c r="Z5" s="164"/>
      <c r="AA5" s="164"/>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73"/>
      <c r="BO5" s="27" t="str">
        <f t="shared" si="2"/>
        <v>3</v>
      </c>
      <c r="BP5" s="8" t="str">
        <f t="shared" si="3"/>
        <v>5</v>
      </c>
      <c r="BQ5" s="8">
        <f t="shared" ref="BQ5:BQ35" si="10">IF(P5=0,0,IF(P5=1,INT($BO5),$BO5+$BP5*(P5-1)))</f>
        <v>0</v>
      </c>
      <c r="BR5" s="8">
        <f t="shared" ref="BR5:BR35" si="11">IF(Q5=0,0,IF(Q5=1,INT($BO5),$BO5+$BP5*(Q5-1)))</f>
        <v>0</v>
      </c>
      <c r="BS5" s="8">
        <f t="shared" ref="BS5:BS35" si="12">IF(R5=0,0,IF(R5=1,INT($BO5),$BO5+$BP5*(R5-1)))</f>
        <v>0</v>
      </c>
      <c r="BT5" s="8">
        <f t="shared" ref="BT5:BT35" si="13">IF(S5=0,0,IF(S5=1,INT($BO5),$BO5+$BP5*(S5-1)))</f>
        <v>0</v>
      </c>
      <c r="BU5" s="8">
        <f t="shared" ref="BU5:BU35" si="14">IF(T5=0,0,IF(T5=1,INT($BO5),$BO5+$BP5*(T5-1)))</f>
        <v>0</v>
      </c>
      <c r="BV5" s="8">
        <f t="shared" ref="BV5:BV35" si="15">IF(U5=0,0,IF(U5=1,INT($BO5),$BO5+$BP5*(U5-1)))</f>
        <v>0</v>
      </c>
      <c r="BW5" s="8">
        <f t="shared" ref="BW5:BW35" si="16">IF(V5=0,0,IF(V5=1,INT($BO5),$BO5+$BP5*(V5-1)))</f>
        <v>0</v>
      </c>
      <c r="BX5" s="8">
        <f t="shared" ref="BX5:BX35" si="17">IF(W5=0,0,IF(W5=1,INT($BO5),$BO5+$BP5*(W5-1)))</f>
        <v>0</v>
      </c>
      <c r="BY5" s="8">
        <f t="shared" ref="BY5:BY35" si="18">IF(X5=0,0,IF(X5=1,INT($BO5),$BO5+$BP5*(X5-1)))</f>
        <v>0</v>
      </c>
      <c r="BZ5" s="8">
        <f t="shared" ref="BZ5:BZ35" si="19">IF(Y5=0,0,IF(Y5=1,INT($BO5),$BO5+$BP5*(Y5-1)))</f>
        <v>0</v>
      </c>
      <c r="CA5" s="8">
        <f t="shared" ref="CA5:CA35" si="20">IF(Z5=0,0,IF(Z5=1,INT($BO5),$BO5+$BP5*(Z5-1)))</f>
        <v>0</v>
      </c>
      <c r="CB5" s="8">
        <f t="shared" ref="CB5:CB35" si="21">IF(AA5=0,0,IF(AA5=1,INT($BO5),$BO5+$BP5*(AA5-1)))</f>
        <v>0</v>
      </c>
      <c r="CC5" s="8">
        <f t="shared" ref="CC5:CC35" si="22">IF(AB5=0,0,IF(AB5=1,INT($BO5),$BO5+$BP5*(AB5-1)))</f>
        <v>0</v>
      </c>
      <c r="CD5" s="8">
        <f t="shared" ref="CD5:CD35" si="23">IF(AC5=0,0,IF(AC5=1,INT($BO5),$BO5+$BP5*(AC5-1)))</f>
        <v>0</v>
      </c>
      <c r="CE5" s="8">
        <f t="shared" ref="CE5:CE35" si="24">IF(AD5=0,0,IF(AD5=1,INT($BO5),$BO5+$BP5*(AD5-1)))</f>
        <v>0</v>
      </c>
      <c r="CF5" s="8">
        <f t="shared" ref="CF5:CF35" si="25">IF(AE5=0,0,IF(AE5=1,INT($BO5),$BO5+$BP5*(AE5-1)))</f>
        <v>0</v>
      </c>
      <c r="CG5" s="8">
        <f t="shared" ref="CG5:CG35" si="26">IF(AF5=0,0,IF(AF5=1,INT($BO5),$BO5+$BP5*(AF5-1)))</f>
        <v>0</v>
      </c>
      <c r="CH5" s="8">
        <f t="shared" ref="CH5:CH35" si="27">IF(AG5=0,0,IF(AG5=1,INT($BO5),$BO5+$BP5*(AG5-1)))</f>
        <v>0</v>
      </c>
      <c r="CI5" s="8">
        <f t="shared" ref="CI5:CI35" si="28">IF(AH5=0,0,IF(AH5=1,INT($BO5),$BO5+$BP5*(AH5-1)))</f>
        <v>0</v>
      </c>
      <c r="CJ5" s="8">
        <f t="shared" ref="CJ5:CP23" si="29">IF(AI5=0,0,IF(AI5=1,INT($BO5),$BO5+$BP5*(AI5-1)))</f>
        <v>0</v>
      </c>
      <c r="CK5" s="8">
        <f t="shared" si="29"/>
        <v>0</v>
      </c>
      <c r="CL5" s="8">
        <f t="shared" si="29"/>
        <v>0</v>
      </c>
      <c r="CM5" s="8">
        <f t="shared" si="29"/>
        <v>0</v>
      </c>
      <c r="CN5" s="8">
        <f t="shared" si="29"/>
        <v>0</v>
      </c>
      <c r="CO5" s="8">
        <f t="shared" si="29"/>
        <v>0</v>
      </c>
      <c r="CP5" s="8">
        <f t="shared" si="29"/>
        <v>0</v>
      </c>
      <c r="CQ5" s="8">
        <f t="shared" ref="CQ5:CQ81" si="30">IF(AP5=0,0,IF(AP5=1,INT($BO5),$BO5+$BP5*(AP5-1)))</f>
        <v>0</v>
      </c>
      <c r="CR5" s="8">
        <f t="shared" ref="CR5:CR81" si="31">IF(AQ5=0,0,IF(AQ5=1,INT($BO5),$BO5+$BP5*(AQ5-1)))</f>
        <v>0</v>
      </c>
      <c r="CS5" s="8">
        <f t="shared" ref="CS5:CS81" si="32">IF(AR5=0,0,IF(AR5=1,INT($BO5),$BO5+$BP5*(AR5-1)))</f>
        <v>0</v>
      </c>
      <c r="CT5" s="8">
        <f t="shared" ref="CT5:CT81" si="33">IF(AS5=0,0,IF(AS5=1,INT($BO5),$BO5+$BP5*(AS5-1)))</f>
        <v>0</v>
      </c>
      <c r="CU5" s="8">
        <f t="shared" ref="CU5:CU81" si="34">IF(AT5=0,0,IF(AT5=1,INT($BO5),$BO5+$BP5*(AT5-1)))</f>
        <v>0</v>
      </c>
      <c r="CV5" s="8">
        <f t="shared" ref="CV5:CV81" si="35">IF(AU5=0,0,IF(AU5=1,INT($BO5),$BO5+$BP5*(AU5-1)))</f>
        <v>0</v>
      </c>
      <c r="CW5" s="8">
        <f t="shared" ref="CW5:CW81" si="36">IF(AV5=0,0,IF(AV5=1,INT($BO5),$BO5+$BP5*(AV5-1)))</f>
        <v>0</v>
      </c>
      <c r="CX5" s="8">
        <f t="shared" ref="CX5:CX81" si="37">IF(AW5=0,0,IF(AW5=1,INT($BO5),$BO5+$BP5*(AW5-1)))</f>
        <v>0</v>
      </c>
      <c r="CY5" s="8">
        <f t="shared" ref="CY5:CY81" si="38">IF(AX5=0,0,IF(AX5=1,INT($BO5),$BO5+$BP5*(AX5-1)))</f>
        <v>0</v>
      </c>
      <c r="CZ5" s="8">
        <f t="shared" ref="CZ5:CZ81" si="39">IF(AY5=0,0,IF(AY5=1,INT($BO5),$BO5+$BP5*(AY5-1)))</f>
        <v>0</v>
      </c>
      <c r="DA5" s="8">
        <f t="shared" ref="DA5:DA81" si="40">IF(AZ5=0,0,IF(AZ5=1,INT($BO5),$BO5+$BP5*(AZ5-1)))</f>
        <v>0</v>
      </c>
      <c r="DB5" s="8">
        <f t="shared" ref="DB5:DB81" si="41">IF(BA5=0,0,IF(BA5=1,INT($BO5),$BO5+$BP5*(BA5-1)))</f>
        <v>0</v>
      </c>
      <c r="DC5" s="8">
        <f t="shared" ref="DC5:DC81" si="42">IF(BB5=0,0,IF(BB5=1,INT($BO5),$BO5+$BP5*(BB5-1)))</f>
        <v>0</v>
      </c>
      <c r="DD5" s="8">
        <f t="shared" ref="DD5:DD81" si="43">IF(BC5=0,0,IF(BC5=1,INT($BO5),$BO5+$BP5*(BC5-1)))</f>
        <v>0</v>
      </c>
      <c r="DE5" s="8">
        <f t="shared" ref="DE5:DE81" si="44">IF(BD5=0,0,IF(BD5=1,INT($BO5),$BO5+$BP5*(BD5-1)))</f>
        <v>0</v>
      </c>
      <c r="DF5" s="8">
        <f t="shared" ref="DF5:DF81" si="45">IF(BE5=0,0,IF(BE5=1,INT($BO5),$BO5+$BP5*(BE5-1)))</f>
        <v>0</v>
      </c>
      <c r="DG5" s="8">
        <f t="shared" ref="DG5:DG81" si="46">IF(BF5=0,0,IF(BF5=1,INT($BO5),$BO5+$BP5*(BF5-1)))</f>
        <v>0</v>
      </c>
      <c r="DH5" s="8">
        <f t="shared" ref="DH5:DH81" si="47">IF(BG5=0,0,IF(BG5=1,INT($BO5),$BO5+$BP5*(BG5-1)))</f>
        <v>0</v>
      </c>
      <c r="DI5" s="8">
        <f t="shared" ref="DI5:DI81" si="48">IF(BH5=0,0,IF(BH5=1,INT($BO5),$BO5+$BP5*(BH5-1)))</f>
        <v>0</v>
      </c>
      <c r="DJ5" s="8">
        <f t="shared" ref="DJ5:DJ81" si="49">IF(BI5=0,0,IF(BI5=1,INT($BO5),$BO5+$BP5*(BI5-1)))</f>
        <v>0</v>
      </c>
      <c r="DK5" s="8">
        <f t="shared" ref="DK5:DK81" si="50">IF(BJ5=0,0,IF(BJ5=1,INT($BO5),$BO5+$BP5*(BJ5-1)))</f>
        <v>0</v>
      </c>
      <c r="DL5" s="8">
        <f t="shared" ref="DL5:DL81" si="51">IF(BK5=0,0,IF(BK5=1,INT($BO5),$BO5+$BP5*(BK5-1)))</f>
        <v>0</v>
      </c>
      <c r="DM5" s="8">
        <f t="shared" ref="DM5:DM81" si="52">IF(BL5=0,0,IF(BL5=1,INT($BO5),$BO5+$BP5*(BL5-1)))</f>
        <v>0</v>
      </c>
      <c r="DN5" s="8">
        <f t="shared" ref="DN5:DN81" si="53">IF(BM5=0,0,IF(BM5=1,INT($BO5),$BO5+$BP5*(BM5-1)))</f>
        <v>0</v>
      </c>
      <c r="DO5" s="177"/>
      <c r="DP5" s="141"/>
      <c r="DQ5" s="141"/>
      <c r="DR5" s="141"/>
      <c r="DS5" s="141"/>
      <c r="DT5" s="141"/>
      <c r="DU5" s="141" t="s">
        <v>417</v>
      </c>
      <c r="DV5" s="141"/>
      <c r="DW5" s="141"/>
      <c r="DX5" s="141"/>
      <c r="DY5" s="141"/>
      <c r="DZ5" s="141" t="s">
        <v>417</v>
      </c>
      <c r="EA5" s="141"/>
      <c r="EB5" s="141"/>
      <c r="EC5" s="141"/>
      <c r="ED5" s="141"/>
      <c r="EE5" s="141"/>
      <c r="EF5" s="141"/>
      <c r="EG5" s="141"/>
      <c r="EH5" s="141"/>
      <c r="EI5" s="141"/>
      <c r="EJ5" s="142"/>
      <c r="EK5" s="180"/>
    </row>
    <row r="6" spans="2:142" x14ac:dyDescent="0.25">
      <c r="B6" s="69" t="str">
        <f>IF(Profession="","",IF(HLOOKUP(Profession,Skills!$DO$3:$EK$126,ROW(D6)-2,FALSE)="","",HLOOKUP(Profession,Skills!$DO$3:$EK$126,ROW(D6)-2,FALSE)))</f>
        <v/>
      </c>
      <c r="C6" s="32"/>
      <c r="D6" s="35" t="s">
        <v>68</v>
      </c>
      <c r="E6" s="35" t="str">
        <f t="shared" si="4"/>
        <v>Linguistics</v>
      </c>
      <c r="F6" s="164"/>
      <c r="G6" s="33">
        <f ca="1">SUM(I6:L6)</f>
        <v>-25</v>
      </c>
      <c r="H6" s="33">
        <f ca="1">SUM(O6:(OFFSET(O6,0,Level)))</f>
        <v>0</v>
      </c>
      <c r="I6" s="33">
        <f ca="1">IF(Level=0,"",VLOOKUP(H6,RankBonus,2,FALSE))</f>
        <v>-25</v>
      </c>
      <c r="J6" s="33">
        <f>IF(OR(M6="",M6="-"),0,VLOOKUP(MID(M6,1,2),StatBonuses,2,FALSE)+VLOOKUP(MID(M6,4,2),StatBonuses,2,FALSE)+VLOOKUP(MID(M6,7,2),StatBonuses,2,FALSE))</f>
        <v>0</v>
      </c>
      <c r="K6" s="33">
        <f t="shared" ca="1" si="8"/>
        <v>0</v>
      </c>
      <c r="L6" s="168"/>
      <c r="M6" s="33" t="str">
        <f>IF(D6="","",VLOOKUP(D6,DPCosts,2,FALSE))</f>
        <v>Me/Me/Re</v>
      </c>
      <c r="N6" s="33" t="str">
        <f>IF(OR(D6="", Profession=""),"",VLOOKUP(D6,DPCosts,MATCH(Profession,Professions,0)+2,FALSE))</f>
        <v>3/5</v>
      </c>
      <c r="O6" s="172"/>
      <c r="P6" s="168"/>
      <c r="Q6" s="168"/>
      <c r="R6" s="168"/>
      <c r="S6" s="168"/>
      <c r="T6" s="168"/>
      <c r="U6" s="164"/>
      <c r="V6" s="164"/>
      <c r="W6" s="164"/>
      <c r="X6" s="164"/>
      <c r="Y6" s="164"/>
      <c r="Z6" s="164"/>
      <c r="AA6" s="164"/>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73"/>
      <c r="BO6" s="27" t="str">
        <f t="shared" si="2"/>
        <v>3</v>
      </c>
      <c r="BP6" s="8" t="str">
        <f t="shared" si="3"/>
        <v>5</v>
      </c>
      <c r="BQ6" s="8">
        <f t="shared" si="10"/>
        <v>0</v>
      </c>
      <c r="BR6" s="8">
        <f t="shared" si="11"/>
        <v>0</v>
      </c>
      <c r="BS6" s="8">
        <f t="shared" si="12"/>
        <v>0</v>
      </c>
      <c r="BT6" s="8">
        <f t="shared" si="13"/>
        <v>0</v>
      </c>
      <c r="BU6" s="8">
        <f t="shared" si="14"/>
        <v>0</v>
      </c>
      <c r="BV6" s="8">
        <f t="shared" si="15"/>
        <v>0</v>
      </c>
      <c r="BW6" s="8">
        <f t="shared" si="16"/>
        <v>0</v>
      </c>
      <c r="BX6" s="8">
        <f t="shared" si="17"/>
        <v>0</v>
      </c>
      <c r="BY6" s="8">
        <f t="shared" si="18"/>
        <v>0</v>
      </c>
      <c r="BZ6" s="8">
        <f t="shared" si="19"/>
        <v>0</v>
      </c>
      <c r="CA6" s="8">
        <f t="shared" si="20"/>
        <v>0</v>
      </c>
      <c r="CB6" s="8">
        <f t="shared" si="21"/>
        <v>0</v>
      </c>
      <c r="CC6" s="8">
        <f t="shared" si="22"/>
        <v>0</v>
      </c>
      <c r="CD6" s="8">
        <f t="shared" si="23"/>
        <v>0</v>
      </c>
      <c r="CE6" s="8">
        <f t="shared" si="24"/>
        <v>0</v>
      </c>
      <c r="CF6" s="8">
        <f t="shared" si="25"/>
        <v>0</v>
      </c>
      <c r="CG6" s="8">
        <f t="shared" si="26"/>
        <v>0</v>
      </c>
      <c r="CH6" s="8">
        <f t="shared" si="27"/>
        <v>0</v>
      </c>
      <c r="CI6" s="8">
        <f t="shared" si="28"/>
        <v>0</v>
      </c>
      <c r="CJ6" s="8">
        <f t="shared" si="29"/>
        <v>0</v>
      </c>
      <c r="CK6" s="8">
        <f t="shared" si="29"/>
        <v>0</v>
      </c>
      <c r="CL6" s="8">
        <f t="shared" si="29"/>
        <v>0</v>
      </c>
      <c r="CM6" s="8">
        <f t="shared" si="29"/>
        <v>0</v>
      </c>
      <c r="CN6" s="8">
        <f t="shared" si="29"/>
        <v>0</v>
      </c>
      <c r="CO6" s="8">
        <f t="shared" si="29"/>
        <v>0</v>
      </c>
      <c r="CP6" s="8">
        <f t="shared" si="29"/>
        <v>0</v>
      </c>
      <c r="CQ6" s="8">
        <f t="shared" si="30"/>
        <v>0</v>
      </c>
      <c r="CR6" s="8">
        <f t="shared" si="31"/>
        <v>0</v>
      </c>
      <c r="CS6" s="8">
        <f t="shared" si="32"/>
        <v>0</v>
      </c>
      <c r="CT6" s="8">
        <f t="shared" si="33"/>
        <v>0</v>
      </c>
      <c r="CU6" s="8">
        <f t="shared" si="34"/>
        <v>0</v>
      </c>
      <c r="CV6" s="8">
        <f t="shared" si="35"/>
        <v>0</v>
      </c>
      <c r="CW6" s="8">
        <f t="shared" si="36"/>
        <v>0</v>
      </c>
      <c r="CX6" s="8">
        <f t="shared" si="37"/>
        <v>0</v>
      </c>
      <c r="CY6" s="8">
        <f t="shared" si="38"/>
        <v>0</v>
      </c>
      <c r="CZ6" s="8">
        <f t="shared" si="39"/>
        <v>0</v>
      </c>
      <c r="DA6" s="8">
        <f t="shared" si="40"/>
        <v>0</v>
      </c>
      <c r="DB6" s="8">
        <f t="shared" si="41"/>
        <v>0</v>
      </c>
      <c r="DC6" s="8">
        <f t="shared" si="42"/>
        <v>0</v>
      </c>
      <c r="DD6" s="8">
        <f t="shared" si="43"/>
        <v>0</v>
      </c>
      <c r="DE6" s="8">
        <f t="shared" si="44"/>
        <v>0</v>
      </c>
      <c r="DF6" s="8">
        <f t="shared" si="45"/>
        <v>0</v>
      </c>
      <c r="DG6" s="8">
        <f t="shared" si="46"/>
        <v>0</v>
      </c>
      <c r="DH6" s="8">
        <f t="shared" si="47"/>
        <v>0</v>
      </c>
      <c r="DI6" s="8">
        <f t="shared" si="48"/>
        <v>0</v>
      </c>
      <c r="DJ6" s="8">
        <f t="shared" si="49"/>
        <v>0</v>
      </c>
      <c r="DK6" s="8">
        <f t="shared" si="50"/>
        <v>0</v>
      </c>
      <c r="DL6" s="8">
        <f t="shared" si="51"/>
        <v>0</v>
      </c>
      <c r="DM6" s="8">
        <f t="shared" si="52"/>
        <v>0</v>
      </c>
      <c r="DN6" s="8">
        <f t="shared" si="53"/>
        <v>0</v>
      </c>
      <c r="DO6" s="177"/>
      <c r="DP6" s="141"/>
      <c r="DQ6" s="141"/>
      <c r="DR6" s="141"/>
      <c r="DS6" s="141"/>
      <c r="DT6" s="141"/>
      <c r="DU6" s="141" t="s">
        <v>417</v>
      </c>
      <c r="DV6" s="141"/>
      <c r="DW6" s="141"/>
      <c r="DX6" s="141"/>
      <c r="DY6" s="141"/>
      <c r="DZ6" s="141" t="s">
        <v>417</v>
      </c>
      <c r="EA6" s="141"/>
      <c r="EB6" s="141"/>
      <c r="EC6" s="141"/>
      <c r="ED6" s="141"/>
      <c r="EE6" s="141"/>
      <c r="EF6" s="141"/>
      <c r="EG6" s="141"/>
      <c r="EH6" s="141"/>
      <c r="EI6" s="141"/>
      <c r="EJ6" s="142"/>
      <c r="EK6" s="180"/>
    </row>
    <row r="7" spans="2:142" x14ac:dyDescent="0.25">
      <c r="B7" s="69" t="str">
        <f>IF(Profession="","",IF(HLOOKUP(Profession,Skills!$DO$3:$EK$126,ROW(D7)-2,FALSE)="","",HLOOKUP(Profession,Skills!$DO$3:$EK$126,ROW(D7)-2,FALSE)))</f>
        <v/>
      </c>
      <c r="C7" s="32"/>
      <c r="D7" s="35" t="s">
        <v>68</v>
      </c>
      <c r="E7" s="35" t="str">
        <f t="shared" si="4"/>
        <v>Linguistics</v>
      </c>
      <c r="F7" s="164"/>
      <c r="G7" s="33">
        <f ca="1">SUM(I7:L7)</f>
        <v>-25</v>
      </c>
      <c r="H7" s="33">
        <f ca="1">SUM(O7:(OFFSET(O7,0,Level)))</f>
        <v>0</v>
      </c>
      <c r="I7" s="33">
        <f ca="1">IF(Level=0,"",VLOOKUP(H7,RankBonus,2,FALSE))</f>
        <v>-25</v>
      </c>
      <c r="J7" s="33">
        <f>IF(OR(M7="",M7="-"),0,VLOOKUP(MID(M7,1,2),StatBonuses,2,FALSE)+VLOOKUP(MID(M7,4,2),StatBonuses,2,FALSE)+VLOOKUP(MID(M7,7,2),StatBonuses,2,FALSE))</f>
        <v>0</v>
      </c>
      <c r="K7" s="33">
        <f t="shared" ca="1" si="8"/>
        <v>0</v>
      </c>
      <c r="L7" s="168"/>
      <c r="M7" s="33" t="str">
        <f>IF(D7="","",VLOOKUP(D7,DPCosts,2,FALSE))</f>
        <v>Me/Me/Re</v>
      </c>
      <c r="N7" s="33" t="str">
        <f>IF(OR(D7="", Profession=""),"",VLOOKUP(D7,DPCosts,MATCH(Profession,Professions,0)+2,FALSE))</f>
        <v>3/5</v>
      </c>
      <c r="O7" s="172"/>
      <c r="P7" s="168"/>
      <c r="Q7" s="168"/>
      <c r="R7" s="168"/>
      <c r="S7" s="168"/>
      <c r="T7" s="168"/>
      <c r="U7" s="164"/>
      <c r="V7" s="164"/>
      <c r="W7" s="164"/>
      <c r="X7" s="164"/>
      <c r="Y7" s="164"/>
      <c r="Z7" s="164"/>
      <c r="AA7" s="164"/>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73"/>
      <c r="BO7" s="27" t="str">
        <f t="shared" si="2"/>
        <v>3</v>
      </c>
      <c r="BP7" s="8" t="str">
        <f t="shared" si="3"/>
        <v>5</v>
      </c>
      <c r="BQ7" s="8">
        <f t="shared" si="10"/>
        <v>0</v>
      </c>
      <c r="BR7" s="8">
        <f t="shared" si="11"/>
        <v>0</v>
      </c>
      <c r="BS7" s="8">
        <f t="shared" si="12"/>
        <v>0</v>
      </c>
      <c r="BT7" s="8">
        <f t="shared" si="13"/>
        <v>0</v>
      </c>
      <c r="BU7" s="8">
        <f t="shared" si="14"/>
        <v>0</v>
      </c>
      <c r="BV7" s="8">
        <f t="shared" si="15"/>
        <v>0</v>
      </c>
      <c r="BW7" s="8">
        <f t="shared" si="16"/>
        <v>0</v>
      </c>
      <c r="BX7" s="8">
        <f t="shared" si="17"/>
        <v>0</v>
      </c>
      <c r="BY7" s="8">
        <f t="shared" si="18"/>
        <v>0</v>
      </c>
      <c r="BZ7" s="8">
        <f t="shared" si="19"/>
        <v>0</v>
      </c>
      <c r="CA7" s="8">
        <f t="shared" si="20"/>
        <v>0</v>
      </c>
      <c r="CB7" s="8">
        <f t="shared" si="21"/>
        <v>0</v>
      </c>
      <c r="CC7" s="8">
        <f t="shared" si="22"/>
        <v>0</v>
      </c>
      <c r="CD7" s="8">
        <f t="shared" si="23"/>
        <v>0</v>
      </c>
      <c r="CE7" s="8">
        <f t="shared" si="24"/>
        <v>0</v>
      </c>
      <c r="CF7" s="8">
        <f t="shared" si="25"/>
        <v>0</v>
      </c>
      <c r="CG7" s="8">
        <f t="shared" si="26"/>
        <v>0</v>
      </c>
      <c r="CH7" s="8">
        <f t="shared" si="27"/>
        <v>0</v>
      </c>
      <c r="CI7" s="8">
        <f t="shared" si="28"/>
        <v>0</v>
      </c>
      <c r="CJ7" s="8">
        <f t="shared" si="29"/>
        <v>0</v>
      </c>
      <c r="CK7" s="8">
        <f t="shared" si="29"/>
        <v>0</v>
      </c>
      <c r="CL7" s="8">
        <f t="shared" si="29"/>
        <v>0</v>
      </c>
      <c r="CM7" s="8">
        <f t="shared" si="29"/>
        <v>0</v>
      </c>
      <c r="CN7" s="8">
        <f t="shared" si="29"/>
        <v>0</v>
      </c>
      <c r="CO7" s="8">
        <f t="shared" si="29"/>
        <v>0</v>
      </c>
      <c r="CP7" s="8">
        <f t="shared" si="29"/>
        <v>0</v>
      </c>
      <c r="CQ7" s="8">
        <f t="shared" si="30"/>
        <v>0</v>
      </c>
      <c r="CR7" s="8">
        <f t="shared" si="31"/>
        <v>0</v>
      </c>
      <c r="CS7" s="8">
        <f t="shared" si="32"/>
        <v>0</v>
      </c>
      <c r="CT7" s="8">
        <f t="shared" si="33"/>
        <v>0</v>
      </c>
      <c r="CU7" s="8">
        <f t="shared" si="34"/>
        <v>0</v>
      </c>
      <c r="CV7" s="8">
        <f t="shared" si="35"/>
        <v>0</v>
      </c>
      <c r="CW7" s="8">
        <f t="shared" si="36"/>
        <v>0</v>
      </c>
      <c r="CX7" s="8">
        <f t="shared" si="37"/>
        <v>0</v>
      </c>
      <c r="CY7" s="8">
        <f t="shared" si="38"/>
        <v>0</v>
      </c>
      <c r="CZ7" s="8">
        <f t="shared" si="39"/>
        <v>0</v>
      </c>
      <c r="DA7" s="8">
        <f t="shared" si="40"/>
        <v>0</v>
      </c>
      <c r="DB7" s="8">
        <f t="shared" si="41"/>
        <v>0</v>
      </c>
      <c r="DC7" s="8">
        <f t="shared" si="42"/>
        <v>0</v>
      </c>
      <c r="DD7" s="8">
        <f t="shared" si="43"/>
        <v>0</v>
      </c>
      <c r="DE7" s="8">
        <f t="shared" si="44"/>
        <v>0</v>
      </c>
      <c r="DF7" s="8">
        <f t="shared" si="45"/>
        <v>0</v>
      </c>
      <c r="DG7" s="8">
        <f t="shared" si="46"/>
        <v>0</v>
      </c>
      <c r="DH7" s="8">
        <f t="shared" si="47"/>
        <v>0</v>
      </c>
      <c r="DI7" s="8">
        <f t="shared" si="48"/>
        <v>0</v>
      </c>
      <c r="DJ7" s="8">
        <f t="shared" si="49"/>
        <v>0</v>
      </c>
      <c r="DK7" s="8">
        <f t="shared" si="50"/>
        <v>0</v>
      </c>
      <c r="DL7" s="8">
        <f t="shared" si="51"/>
        <v>0</v>
      </c>
      <c r="DM7" s="8">
        <f t="shared" si="52"/>
        <v>0</v>
      </c>
      <c r="DN7" s="8">
        <f t="shared" si="53"/>
        <v>0</v>
      </c>
      <c r="DO7" s="177"/>
      <c r="DP7" s="141"/>
      <c r="DQ7" s="141"/>
      <c r="DR7" s="141"/>
      <c r="DS7" s="141"/>
      <c r="DT7" s="141"/>
      <c r="DU7" s="141" t="s">
        <v>417</v>
      </c>
      <c r="DV7" s="141"/>
      <c r="DW7" s="141"/>
      <c r="DX7" s="141"/>
      <c r="DY7" s="141"/>
      <c r="DZ7" s="141" t="s">
        <v>417</v>
      </c>
      <c r="EA7" s="141"/>
      <c r="EB7" s="141"/>
      <c r="EC7" s="141"/>
      <c r="ED7" s="141"/>
      <c r="EE7" s="141"/>
      <c r="EF7" s="141"/>
      <c r="EG7" s="141"/>
      <c r="EH7" s="141"/>
      <c r="EI7" s="141"/>
      <c r="EJ7" s="142"/>
      <c r="EK7" s="180"/>
    </row>
    <row r="8" spans="2:142" x14ac:dyDescent="0.25">
      <c r="B8" s="69" t="str">
        <f>IF(Profession="","",IF(HLOOKUP(Profession,Skills!$DO$3:$EK$126,ROW(D8)-2,FALSE)="","",HLOOKUP(Profession,Skills!$DO$3:$EK$126,ROW(D8)-2,FALSE)))</f>
        <v/>
      </c>
      <c r="C8" s="32"/>
      <c r="D8" s="35" t="s">
        <v>68</v>
      </c>
      <c r="E8" s="35" t="str">
        <f t="shared" si="4"/>
        <v>Linguistics</v>
      </c>
      <c r="F8" s="164"/>
      <c r="G8" s="33">
        <f t="shared" ca="1" si="5"/>
        <v>-25</v>
      </c>
      <c r="H8" s="33">
        <f ca="1">SUM(O8:(OFFSET(O8,0,Level)))</f>
        <v>0</v>
      </c>
      <c r="I8" s="33">
        <f t="shared" ca="1" si="6"/>
        <v>-25</v>
      </c>
      <c r="J8" s="33">
        <f t="shared" si="7"/>
        <v>0</v>
      </c>
      <c r="K8" s="33">
        <f t="shared" ca="1" si="8"/>
        <v>0</v>
      </c>
      <c r="L8" s="168"/>
      <c r="M8" s="33" t="str">
        <f t="shared" si="9"/>
        <v>Me/Me/Re</v>
      </c>
      <c r="N8" s="33" t="str">
        <f t="shared" ref="N8:N45" si="54">IF(OR(D8="", Profession=""),"",VLOOKUP(D8,DPCosts,MATCH(Profession,Professions,0)+2,FALSE))</f>
        <v>3/5</v>
      </c>
      <c r="O8" s="172"/>
      <c r="P8" s="168"/>
      <c r="Q8" s="168"/>
      <c r="R8" s="168"/>
      <c r="S8" s="168"/>
      <c r="T8" s="168"/>
      <c r="U8" s="164"/>
      <c r="V8" s="164"/>
      <c r="W8" s="164"/>
      <c r="X8" s="164"/>
      <c r="Y8" s="164"/>
      <c r="Z8" s="164"/>
      <c r="AA8" s="164"/>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73"/>
      <c r="BO8" s="27" t="str">
        <f t="shared" si="2"/>
        <v>3</v>
      </c>
      <c r="BP8" s="8" t="str">
        <f t="shared" si="3"/>
        <v>5</v>
      </c>
      <c r="BQ8" s="8">
        <f t="shared" si="10"/>
        <v>0</v>
      </c>
      <c r="BR8" s="8">
        <f t="shared" si="11"/>
        <v>0</v>
      </c>
      <c r="BS8" s="8">
        <f t="shared" si="12"/>
        <v>0</v>
      </c>
      <c r="BT8" s="8">
        <f t="shared" si="13"/>
        <v>0</v>
      </c>
      <c r="BU8" s="8">
        <f t="shared" si="14"/>
        <v>0</v>
      </c>
      <c r="BV8" s="8">
        <f t="shared" si="15"/>
        <v>0</v>
      </c>
      <c r="BW8" s="8">
        <f t="shared" si="16"/>
        <v>0</v>
      </c>
      <c r="BX8" s="8">
        <f t="shared" si="17"/>
        <v>0</v>
      </c>
      <c r="BY8" s="8">
        <f t="shared" si="18"/>
        <v>0</v>
      </c>
      <c r="BZ8" s="8">
        <f t="shared" si="19"/>
        <v>0</v>
      </c>
      <c r="CA8" s="8">
        <f t="shared" si="20"/>
        <v>0</v>
      </c>
      <c r="CB8" s="8">
        <f t="shared" si="21"/>
        <v>0</v>
      </c>
      <c r="CC8" s="8">
        <f t="shared" si="22"/>
        <v>0</v>
      </c>
      <c r="CD8" s="8">
        <f t="shared" si="23"/>
        <v>0</v>
      </c>
      <c r="CE8" s="8">
        <f t="shared" si="24"/>
        <v>0</v>
      </c>
      <c r="CF8" s="8">
        <f t="shared" si="25"/>
        <v>0</v>
      </c>
      <c r="CG8" s="8">
        <f t="shared" si="26"/>
        <v>0</v>
      </c>
      <c r="CH8" s="8">
        <f t="shared" si="27"/>
        <v>0</v>
      </c>
      <c r="CI8" s="8">
        <f t="shared" si="28"/>
        <v>0</v>
      </c>
      <c r="CJ8" s="8">
        <f t="shared" si="29"/>
        <v>0</v>
      </c>
      <c r="CK8" s="8">
        <f t="shared" si="29"/>
        <v>0</v>
      </c>
      <c r="CL8" s="8">
        <f t="shared" si="29"/>
        <v>0</v>
      </c>
      <c r="CM8" s="8">
        <f t="shared" si="29"/>
        <v>0</v>
      </c>
      <c r="CN8" s="8">
        <f t="shared" si="29"/>
        <v>0</v>
      </c>
      <c r="CO8" s="8">
        <f t="shared" si="29"/>
        <v>0</v>
      </c>
      <c r="CP8" s="8">
        <f t="shared" si="29"/>
        <v>0</v>
      </c>
      <c r="CQ8" s="8">
        <f t="shared" si="30"/>
        <v>0</v>
      </c>
      <c r="CR8" s="8">
        <f t="shared" si="31"/>
        <v>0</v>
      </c>
      <c r="CS8" s="8">
        <f t="shared" si="32"/>
        <v>0</v>
      </c>
      <c r="CT8" s="8">
        <f t="shared" si="33"/>
        <v>0</v>
      </c>
      <c r="CU8" s="8">
        <f t="shared" si="34"/>
        <v>0</v>
      </c>
      <c r="CV8" s="8">
        <f t="shared" si="35"/>
        <v>0</v>
      </c>
      <c r="CW8" s="8">
        <f t="shared" si="36"/>
        <v>0</v>
      </c>
      <c r="CX8" s="8">
        <f t="shared" si="37"/>
        <v>0</v>
      </c>
      <c r="CY8" s="8">
        <f t="shared" si="38"/>
        <v>0</v>
      </c>
      <c r="CZ8" s="8">
        <f t="shared" si="39"/>
        <v>0</v>
      </c>
      <c r="DA8" s="8">
        <f t="shared" si="40"/>
        <v>0</v>
      </c>
      <c r="DB8" s="8">
        <f t="shared" si="41"/>
        <v>0</v>
      </c>
      <c r="DC8" s="8">
        <f t="shared" si="42"/>
        <v>0</v>
      </c>
      <c r="DD8" s="8">
        <f t="shared" si="43"/>
        <v>0</v>
      </c>
      <c r="DE8" s="8">
        <f t="shared" si="44"/>
        <v>0</v>
      </c>
      <c r="DF8" s="8">
        <f t="shared" si="45"/>
        <v>0</v>
      </c>
      <c r="DG8" s="8">
        <f t="shared" si="46"/>
        <v>0</v>
      </c>
      <c r="DH8" s="8">
        <f t="shared" si="47"/>
        <v>0</v>
      </c>
      <c r="DI8" s="8">
        <f t="shared" si="48"/>
        <v>0</v>
      </c>
      <c r="DJ8" s="8">
        <f t="shared" si="49"/>
        <v>0</v>
      </c>
      <c r="DK8" s="8">
        <f t="shared" si="50"/>
        <v>0</v>
      </c>
      <c r="DL8" s="8">
        <f t="shared" si="51"/>
        <v>0</v>
      </c>
      <c r="DM8" s="8">
        <f t="shared" si="52"/>
        <v>0</v>
      </c>
      <c r="DN8" s="8">
        <f t="shared" si="53"/>
        <v>0</v>
      </c>
      <c r="DO8" s="177"/>
      <c r="DP8" s="141"/>
      <c r="DQ8" s="141"/>
      <c r="DR8" s="141"/>
      <c r="DS8" s="141"/>
      <c r="DT8" s="141"/>
      <c r="DU8" s="141" t="s">
        <v>417</v>
      </c>
      <c r="DV8" s="141"/>
      <c r="DW8" s="141"/>
      <c r="DX8" s="141"/>
      <c r="DY8" s="141"/>
      <c r="DZ8" s="141" t="s">
        <v>417</v>
      </c>
      <c r="EA8" s="141"/>
      <c r="EB8" s="141"/>
      <c r="EC8" s="141"/>
      <c r="ED8" s="141"/>
      <c r="EE8" s="141"/>
      <c r="EF8" s="141"/>
      <c r="EG8" s="141"/>
      <c r="EH8" s="141"/>
      <c r="EI8" s="141"/>
      <c r="EJ8" s="142"/>
      <c r="EK8" s="180"/>
    </row>
    <row r="9" spans="2:142" x14ac:dyDescent="0.25">
      <c r="B9" s="69" t="str">
        <f>IF(Profession="","",IF(HLOOKUP(Profession,Skills!$DO$3:$EK$126,ROW(D9)-2,FALSE)="","",HLOOKUP(Profession,Skills!$DO$3:$EK$126,ROW(D9)-2,FALSE)))</f>
        <v/>
      </c>
      <c r="C9" s="32"/>
      <c r="D9" s="35" t="s">
        <v>68</v>
      </c>
      <c r="E9" s="35" t="str">
        <f t="shared" si="4"/>
        <v>Linguistics</v>
      </c>
      <c r="F9" s="164"/>
      <c r="G9" s="33">
        <f t="shared" ca="1" si="5"/>
        <v>-25</v>
      </c>
      <c r="H9" s="33">
        <f ca="1">SUM(O9:(OFFSET(O9,0,Level)))</f>
        <v>0</v>
      </c>
      <c r="I9" s="33">
        <f t="shared" ca="1" si="6"/>
        <v>-25</v>
      </c>
      <c r="J9" s="33">
        <f t="shared" si="7"/>
        <v>0</v>
      </c>
      <c r="K9" s="33">
        <f t="shared" ca="1" si="8"/>
        <v>0</v>
      </c>
      <c r="L9" s="168"/>
      <c r="M9" s="33" t="str">
        <f t="shared" si="9"/>
        <v>Me/Me/Re</v>
      </c>
      <c r="N9" s="33" t="str">
        <f t="shared" si="54"/>
        <v>3/5</v>
      </c>
      <c r="O9" s="172"/>
      <c r="P9" s="168"/>
      <c r="Q9" s="168"/>
      <c r="R9" s="168"/>
      <c r="S9" s="168"/>
      <c r="T9" s="168"/>
      <c r="U9" s="164"/>
      <c r="V9" s="164"/>
      <c r="W9" s="164"/>
      <c r="X9" s="164"/>
      <c r="Y9" s="164"/>
      <c r="Z9" s="164"/>
      <c r="AA9" s="164"/>
      <c r="AB9" s="168"/>
      <c r="AC9" s="168"/>
      <c r="AD9" s="168"/>
      <c r="AE9" s="168"/>
      <c r="AF9" s="168"/>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73"/>
      <c r="BO9" s="27" t="str">
        <f t="shared" si="2"/>
        <v>3</v>
      </c>
      <c r="BP9" s="8" t="str">
        <f t="shared" si="3"/>
        <v>5</v>
      </c>
      <c r="BQ9" s="8">
        <f t="shared" si="10"/>
        <v>0</v>
      </c>
      <c r="BR9" s="8">
        <f t="shared" si="11"/>
        <v>0</v>
      </c>
      <c r="BS9" s="8">
        <f t="shared" si="12"/>
        <v>0</v>
      </c>
      <c r="BT9" s="8">
        <f t="shared" si="13"/>
        <v>0</v>
      </c>
      <c r="BU9" s="8">
        <f t="shared" si="14"/>
        <v>0</v>
      </c>
      <c r="BV9" s="8">
        <f t="shared" si="15"/>
        <v>0</v>
      </c>
      <c r="BW9" s="8">
        <f t="shared" si="16"/>
        <v>0</v>
      </c>
      <c r="BX9" s="8">
        <f t="shared" si="17"/>
        <v>0</v>
      </c>
      <c r="BY9" s="8">
        <f t="shared" si="18"/>
        <v>0</v>
      </c>
      <c r="BZ9" s="8">
        <f t="shared" si="19"/>
        <v>0</v>
      </c>
      <c r="CA9" s="8">
        <f t="shared" si="20"/>
        <v>0</v>
      </c>
      <c r="CB9" s="8">
        <f t="shared" si="21"/>
        <v>0</v>
      </c>
      <c r="CC9" s="8">
        <f t="shared" si="22"/>
        <v>0</v>
      </c>
      <c r="CD9" s="8">
        <f t="shared" si="23"/>
        <v>0</v>
      </c>
      <c r="CE9" s="8">
        <f t="shared" si="24"/>
        <v>0</v>
      </c>
      <c r="CF9" s="8">
        <f t="shared" si="25"/>
        <v>0</v>
      </c>
      <c r="CG9" s="8">
        <f t="shared" si="26"/>
        <v>0</v>
      </c>
      <c r="CH9" s="8">
        <f t="shared" si="27"/>
        <v>0</v>
      </c>
      <c r="CI9" s="8">
        <f t="shared" si="28"/>
        <v>0</v>
      </c>
      <c r="CJ9" s="8">
        <f t="shared" si="29"/>
        <v>0</v>
      </c>
      <c r="CK9" s="8">
        <f t="shared" si="29"/>
        <v>0</v>
      </c>
      <c r="CL9" s="8">
        <f t="shared" si="29"/>
        <v>0</v>
      </c>
      <c r="CM9" s="8">
        <f t="shared" si="29"/>
        <v>0</v>
      </c>
      <c r="CN9" s="8">
        <f t="shared" si="29"/>
        <v>0</v>
      </c>
      <c r="CO9" s="8">
        <f t="shared" si="29"/>
        <v>0</v>
      </c>
      <c r="CP9" s="8">
        <f t="shared" si="29"/>
        <v>0</v>
      </c>
      <c r="CQ9" s="8">
        <f t="shared" si="30"/>
        <v>0</v>
      </c>
      <c r="CR9" s="8">
        <f t="shared" si="31"/>
        <v>0</v>
      </c>
      <c r="CS9" s="8">
        <f t="shared" si="32"/>
        <v>0</v>
      </c>
      <c r="CT9" s="8">
        <f t="shared" si="33"/>
        <v>0</v>
      </c>
      <c r="CU9" s="8">
        <f t="shared" si="34"/>
        <v>0</v>
      </c>
      <c r="CV9" s="8">
        <f t="shared" si="35"/>
        <v>0</v>
      </c>
      <c r="CW9" s="8">
        <f t="shared" si="36"/>
        <v>0</v>
      </c>
      <c r="CX9" s="8">
        <f t="shared" si="37"/>
        <v>0</v>
      </c>
      <c r="CY9" s="8">
        <f t="shared" si="38"/>
        <v>0</v>
      </c>
      <c r="CZ9" s="8">
        <f t="shared" si="39"/>
        <v>0</v>
      </c>
      <c r="DA9" s="8">
        <f t="shared" si="40"/>
        <v>0</v>
      </c>
      <c r="DB9" s="8">
        <f t="shared" si="41"/>
        <v>0</v>
      </c>
      <c r="DC9" s="8">
        <f t="shared" si="42"/>
        <v>0</v>
      </c>
      <c r="DD9" s="8">
        <f t="shared" si="43"/>
        <v>0</v>
      </c>
      <c r="DE9" s="8">
        <f t="shared" si="44"/>
        <v>0</v>
      </c>
      <c r="DF9" s="8">
        <f t="shared" si="45"/>
        <v>0</v>
      </c>
      <c r="DG9" s="8">
        <f t="shared" si="46"/>
        <v>0</v>
      </c>
      <c r="DH9" s="8">
        <f t="shared" si="47"/>
        <v>0</v>
      </c>
      <c r="DI9" s="8">
        <f t="shared" si="48"/>
        <v>0</v>
      </c>
      <c r="DJ9" s="8">
        <f t="shared" si="49"/>
        <v>0</v>
      </c>
      <c r="DK9" s="8">
        <f t="shared" si="50"/>
        <v>0</v>
      </c>
      <c r="DL9" s="8">
        <f t="shared" si="51"/>
        <v>0</v>
      </c>
      <c r="DM9" s="8">
        <f t="shared" si="52"/>
        <v>0</v>
      </c>
      <c r="DN9" s="8">
        <f t="shared" si="53"/>
        <v>0</v>
      </c>
      <c r="DO9" s="177"/>
      <c r="DP9" s="141"/>
      <c r="DQ9" s="141"/>
      <c r="DR9" s="141"/>
      <c r="DS9" s="141"/>
      <c r="DT9" s="141"/>
      <c r="DU9" s="141" t="s">
        <v>417</v>
      </c>
      <c r="DV9" s="141"/>
      <c r="DW9" s="141"/>
      <c r="DX9" s="141"/>
      <c r="DY9" s="141"/>
      <c r="DZ9" s="141" t="s">
        <v>417</v>
      </c>
      <c r="EA9" s="141"/>
      <c r="EB9" s="141"/>
      <c r="EC9" s="141"/>
      <c r="ED9" s="141"/>
      <c r="EE9" s="141"/>
      <c r="EF9" s="141"/>
      <c r="EG9" s="141"/>
      <c r="EH9" s="141"/>
      <c r="EI9" s="141"/>
      <c r="EJ9" s="142"/>
      <c r="EK9" s="180"/>
    </row>
    <row r="10" spans="2:142" x14ac:dyDescent="0.25">
      <c r="B10" s="69" t="str">
        <f>IF(Profession="","",IF(HLOOKUP(Profession,Skills!$DO$3:$EK$126,ROW(D10)-2,FALSE)="","",HLOOKUP(Profession,Skills!$DO$3:$EK$126,ROW(D10)-2,FALSE)))</f>
        <v/>
      </c>
      <c r="C10" s="32"/>
      <c r="D10" s="35" t="s">
        <v>69</v>
      </c>
      <c r="E10" s="35" t="str">
        <f t="shared" si="4"/>
        <v>Lore</v>
      </c>
      <c r="F10" s="165" t="s">
        <v>175</v>
      </c>
      <c r="G10" s="33">
        <f t="shared" ca="1" si="5"/>
        <v>-25</v>
      </c>
      <c r="H10" s="33">
        <f ca="1">SUM(O10:(OFFSET(O10,0,Level)))</f>
        <v>0</v>
      </c>
      <c r="I10" s="33">
        <f t="shared" ca="1" si="6"/>
        <v>-25</v>
      </c>
      <c r="J10" s="33">
        <f t="shared" si="7"/>
        <v>0</v>
      </c>
      <c r="K10" s="33">
        <f t="shared" ca="1" si="8"/>
        <v>0</v>
      </c>
      <c r="L10" s="168"/>
      <c r="M10" s="33" t="str">
        <f t="shared" si="9"/>
        <v>Me/Me/Re</v>
      </c>
      <c r="N10" s="33" t="str">
        <f t="shared" si="54"/>
        <v>3/5</v>
      </c>
      <c r="O10" s="131" t="str">
        <f>IF(OR(D10="",Culture=""),"",VLOOKUP("Lore: Own Region",CultureRanks,MATCH(Culture,CultureList,0)+1,FALSE))</f>
        <v/>
      </c>
      <c r="P10" s="168"/>
      <c r="Q10" s="168"/>
      <c r="R10" s="168"/>
      <c r="S10" s="168"/>
      <c r="T10" s="168"/>
      <c r="U10" s="164"/>
      <c r="V10" s="164"/>
      <c r="W10" s="164"/>
      <c r="X10" s="164"/>
      <c r="Y10" s="164"/>
      <c r="Z10" s="164"/>
      <c r="AA10" s="164"/>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73"/>
      <c r="BO10" s="27" t="str">
        <f t="shared" si="2"/>
        <v>3</v>
      </c>
      <c r="BP10" s="8" t="str">
        <f t="shared" si="3"/>
        <v>5</v>
      </c>
      <c r="BQ10" s="8">
        <f t="shared" si="10"/>
        <v>0</v>
      </c>
      <c r="BR10" s="8">
        <f t="shared" si="11"/>
        <v>0</v>
      </c>
      <c r="BS10" s="8">
        <f t="shared" si="12"/>
        <v>0</v>
      </c>
      <c r="BT10" s="8">
        <f t="shared" si="13"/>
        <v>0</v>
      </c>
      <c r="BU10" s="8">
        <f t="shared" si="14"/>
        <v>0</v>
      </c>
      <c r="BV10" s="8">
        <f t="shared" si="15"/>
        <v>0</v>
      </c>
      <c r="BW10" s="8">
        <f t="shared" si="16"/>
        <v>0</v>
      </c>
      <c r="BX10" s="8">
        <f t="shared" si="17"/>
        <v>0</v>
      </c>
      <c r="BY10" s="8">
        <f t="shared" si="18"/>
        <v>0</v>
      </c>
      <c r="BZ10" s="8">
        <f t="shared" si="19"/>
        <v>0</v>
      </c>
      <c r="CA10" s="8">
        <f t="shared" si="20"/>
        <v>0</v>
      </c>
      <c r="CB10" s="8">
        <f t="shared" si="21"/>
        <v>0</v>
      </c>
      <c r="CC10" s="8">
        <f t="shared" si="22"/>
        <v>0</v>
      </c>
      <c r="CD10" s="8">
        <f t="shared" si="23"/>
        <v>0</v>
      </c>
      <c r="CE10" s="8">
        <f t="shared" si="24"/>
        <v>0</v>
      </c>
      <c r="CF10" s="8">
        <f t="shared" si="25"/>
        <v>0</v>
      </c>
      <c r="CG10" s="8">
        <f t="shared" si="26"/>
        <v>0</v>
      </c>
      <c r="CH10" s="8">
        <f t="shared" si="27"/>
        <v>0</v>
      </c>
      <c r="CI10" s="8">
        <f t="shared" si="28"/>
        <v>0</v>
      </c>
      <c r="CJ10" s="8">
        <f t="shared" si="29"/>
        <v>0</v>
      </c>
      <c r="CK10" s="8">
        <f t="shared" si="29"/>
        <v>0</v>
      </c>
      <c r="CL10" s="8">
        <f t="shared" si="29"/>
        <v>0</v>
      </c>
      <c r="CM10" s="8">
        <f t="shared" si="29"/>
        <v>0</v>
      </c>
      <c r="CN10" s="8">
        <f t="shared" si="29"/>
        <v>0</v>
      </c>
      <c r="CO10" s="8">
        <f t="shared" si="29"/>
        <v>0</v>
      </c>
      <c r="CP10" s="8">
        <f t="shared" si="29"/>
        <v>0</v>
      </c>
      <c r="CQ10" s="8">
        <f t="shared" si="30"/>
        <v>0</v>
      </c>
      <c r="CR10" s="8">
        <f t="shared" si="31"/>
        <v>0</v>
      </c>
      <c r="CS10" s="8">
        <f t="shared" si="32"/>
        <v>0</v>
      </c>
      <c r="CT10" s="8">
        <f t="shared" si="33"/>
        <v>0</v>
      </c>
      <c r="CU10" s="8">
        <f t="shared" si="34"/>
        <v>0</v>
      </c>
      <c r="CV10" s="8">
        <f t="shared" si="35"/>
        <v>0</v>
      </c>
      <c r="CW10" s="8">
        <f t="shared" si="36"/>
        <v>0</v>
      </c>
      <c r="CX10" s="8">
        <f t="shared" si="37"/>
        <v>0</v>
      </c>
      <c r="CY10" s="8">
        <f t="shared" si="38"/>
        <v>0</v>
      </c>
      <c r="CZ10" s="8">
        <f t="shared" si="39"/>
        <v>0</v>
      </c>
      <c r="DA10" s="8">
        <f t="shared" si="40"/>
        <v>0</v>
      </c>
      <c r="DB10" s="8">
        <f t="shared" si="41"/>
        <v>0</v>
      </c>
      <c r="DC10" s="8">
        <f t="shared" si="42"/>
        <v>0</v>
      </c>
      <c r="DD10" s="8">
        <f t="shared" si="43"/>
        <v>0</v>
      </c>
      <c r="DE10" s="8">
        <f t="shared" si="44"/>
        <v>0</v>
      </c>
      <c r="DF10" s="8">
        <f t="shared" si="45"/>
        <v>0</v>
      </c>
      <c r="DG10" s="8">
        <f t="shared" si="46"/>
        <v>0</v>
      </c>
      <c r="DH10" s="8">
        <f t="shared" si="47"/>
        <v>0</v>
      </c>
      <c r="DI10" s="8">
        <f t="shared" si="48"/>
        <v>0</v>
      </c>
      <c r="DJ10" s="8">
        <f t="shared" si="49"/>
        <v>0</v>
      </c>
      <c r="DK10" s="8">
        <f t="shared" si="50"/>
        <v>0</v>
      </c>
      <c r="DL10" s="8">
        <f t="shared" si="51"/>
        <v>0</v>
      </c>
      <c r="DM10" s="8">
        <f t="shared" si="52"/>
        <v>0</v>
      </c>
      <c r="DN10" s="8">
        <f t="shared" si="53"/>
        <v>0</v>
      </c>
      <c r="DO10" s="177"/>
      <c r="DP10" s="141"/>
      <c r="DQ10" s="141"/>
      <c r="DR10" s="141"/>
      <c r="DS10" s="141"/>
      <c r="DT10" s="141"/>
      <c r="DU10" s="141" t="s">
        <v>417</v>
      </c>
      <c r="DV10" s="141"/>
      <c r="DW10" s="141"/>
      <c r="DX10" s="141" t="s">
        <v>417</v>
      </c>
      <c r="DY10" s="141"/>
      <c r="DZ10" s="141" t="s">
        <v>417</v>
      </c>
      <c r="EA10" s="141"/>
      <c r="EB10" s="141" t="s">
        <v>417</v>
      </c>
      <c r="EC10" s="141" t="s">
        <v>417</v>
      </c>
      <c r="ED10" s="141" t="s">
        <v>417</v>
      </c>
      <c r="EE10" s="141"/>
      <c r="EF10" s="141"/>
      <c r="EG10" s="141"/>
      <c r="EH10" s="141"/>
      <c r="EI10" s="141"/>
      <c r="EJ10" s="142" t="s">
        <v>417</v>
      </c>
      <c r="EK10" s="180"/>
    </row>
    <row r="11" spans="2:142" x14ac:dyDescent="0.25">
      <c r="B11" s="69" t="str">
        <f>IF(Profession="","",IF(HLOOKUP(Profession,Skills!$DO$3:$EK$126,ROW(D11)-2,FALSE)="","",HLOOKUP(Profession,Skills!$DO$3:$EK$126,ROW(D11)-2,FALSE)))</f>
        <v/>
      </c>
      <c r="C11" s="32"/>
      <c r="D11" s="35" t="s">
        <v>69</v>
      </c>
      <c r="E11" s="35" t="str">
        <f t="shared" si="4"/>
        <v>Lore</v>
      </c>
      <c r="F11" s="164"/>
      <c r="G11" s="33">
        <f ca="1">SUM(I11:L11)</f>
        <v>-25</v>
      </c>
      <c r="H11" s="33">
        <f ca="1">SUM(O11:(OFFSET(O11,0,Level)))</f>
        <v>0</v>
      </c>
      <c r="I11" s="33">
        <f ca="1">IF(Level=0,"",VLOOKUP(H11,RankBonus,2,FALSE))</f>
        <v>-25</v>
      </c>
      <c r="J11" s="33">
        <f>IF(OR(M11="",M11="-"),0,VLOOKUP(MID(M11,1,2),StatBonuses,2,FALSE)+VLOOKUP(MID(M11,4,2),StatBonuses,2,FALSE)+VLOOKUP(MID(M11,7,2),StatBonuses,2,FALSE))</f>
        <v>0</v>
      </c>
      <c r="K11" s="33">
        <f t="shared" ca="1" si="8"/>
        <v>0</v>
      </c>
      <c r="L11" s="168"/>
      <c r="M11" s="33" t="str">
        <f>IF(D11="","",VLOOKUP(D11,DPCosts,2,FALSE))</f>
        <v>Me/Me/Re</v>
      </c>
      <c r="N11" s="33" t="str">
        <f>IF(OR(D11="", Profession=""),"",VLOOKUP(D11,DPCosts,MATCH(Profession,Professions,0)+2,FALSE))</f>
        <v>3/5</v>
      </c>
      <c r="O11" s="131" t="str">
        <f>IF(OR(D11="",Culture=""),"",VLOOKUP("Lore: Choice1",CultureRanks,MATCH(Culture,CultureList,0)+1,FALSE))</f>
        <v/>
      </c>
      <c r="P11" s="168"/>
      <c r="Q11" s="168"/>
      <c r="R11" s="168"/>
      <c r="S11" s="168"/>
      <c r="T11" s="168"/>
      <c r="U11" s="164"/>
      <c r="V11" s="164"/>
      <c r="W11" s="164"/>
      <c r="X11" s="164"/>
      <c r="Y11" s="164"/>
      <c r="Z11" s="164"/>
      <c r="AA11" s="164"/>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73"/>
      <c r="BO11" s="27" t="str">
        <f t="shared" si="2"/>
        <v>3</v>
      </c>
      <c r="BP11" s="8" t="str">
        <f t="shared" si="3"/>
        <v>5</v>
      </c>
      <c r="BQ11" s="8">
        <f t="shared" si="10"/>
        <v>0</v>
      </c>
      <c r="BR11" s="8">
        <f t="shared" si="11"/>
        <v>0</v>
      </c>
      <c r="BS11" s="8">
        <f t="shared" si="12"/>
        <v>0</v>
      </c>
      <c r="BT11" s="8">
        <f t="shared" si="13"/>
        <v>0</v>
      </c>
      <c r="BU11" s="8">
        <f t="shared" si="14"/>
        <v>0</v>
      </c>
      <c r="BV11" s="8">
        <f t="shared" si="15"/>
        <v>0</v>
      </c>
      <c r="BW11" s="8">
        <f t="shared" si="16"/>
        <v>0</v>
      </c>
      <c r="BX11" s="8">
        <f t="shared" si="17"/>
        <v>0</v>
      </c>
      <c r="BY11" s="8">
        <f t="shared" si="18"/>
        <v>0</v>
      </c>
      <c r="BZ11" s="8">
        <f t="shared" si="19"/>
        <v>0</v>
      </c>
      <c r="CA11" s="8">
        <f t="shared" si="20"/>
        <v>0</v>
      </c>
      <c r="CB11" s="8">
        <f t="shared" si="21"/>
        <v>0</v>
      </c>
      <c r="CC11" s="8">
        <f t="shared" si="22"/>
        <v>0</v>
      </c>
      <c r="CD11" s="8">
        <f t="shared" si="23"/>
        <v>0</v>
      </c>
      <c r="CE11" s="8">
        <f t="shared" si="24"/>
        <v>0</v>
      </c>
      <c r="CF11" s="8">
        <f t="shared" si="25"/>
        <v>0</v>
      </c>
      <c r="CG11" s="8">
        <f t="shared" si="26"/>
        <v>0</v>
      </c>
      <c r="CH11" s="8">
        <f t="shared" si="27"/>
        <v>0</v>
      </c>
      <c r="CI11" s="8">
        <f t="shared" si="28"/>
        <v>0</v>
      </c>
      <c r="CJ11" s="8">
        <f t="shared" ref="CJ11:CS12" si="55">IF(AI11=0,0,IF(AI11=1,INT($BO11),$BO11+$BP11*(AI11-1)))</f>
        <v>0</v>
      </c>
      <c r="CK11" s="8">
        <f t="shared" si="55"/>
        <v>0</v>
      </c>
      <c r="CL11" s="8">
        <f t="shared" si="55"/>
        <v>0</v>
      </c>
      <c r="CM11" s="8">
        <f t="shared" si="55"/>
        <v>0</v>
      </c>
      <c r="CN11" s="8">
        <f t="shared" si="55"/>
        <v>0</v>
      </c>
      <c r="CO11" s="8">
        <f t="shared" si="55"/>
        <v>0</v>
      </c>
      <c r="CP11" s="8">
        <f t="shared" si="55"/>
        <v>0</v>
      </c>
      <c r="CQ11" s="8">
        <f t="shared" si="55"/>
        <v>0</v>
      </c>
      <c r="CR11" s="8">
        <f t="shared" si="55"/>
        <v>0</v>
      </c>
      <c r="CS11" s="8">
        <f t="shared" si="55"/>
        <v>0</v>
      </c>
      <c r="CT11" s="8">
        <f t="shared" si="33"/>
        <v>0</v>
      </c>
      <c r="CU11" s="8">
        <f t="shared" si="34"/>
        <v>0</v>
      </c>
      <c r="CV11" s="8">
        <f t="shared" si="35"/>
        <v>0</v>
      </c>
      <c r="CW11" s="8">
        <f t="shared" si="36"/>
        <v>0</v>
      </c>
      <c r="CX11" s="8">
        <f t="shared" si="37"/>
        <v>0</v>
      </c>
      <c r="CY11" s="8">
        <f t="shared" si="38"/>
        <v>0</v>
      </c>
      <c r="CZ11" s="8">
        <f t="shared" si="39"/>
        <v>0</v>
      </c>
      <c r="DA11" s="8">
        <f t="shared" si="40"/>
        <v>0</v>
      </c>
      <c r="DB11" s="8">
        <f t="shared" si="41"/>
        <v>0</v>
      </c>
      <c r="DC11" s="8">
        <f t="shared" si="42"/>
        <v>0</v>
      </c>
      <c r="DD11" s="8">
        <f t="shared" si="43"/>
        <v>0</v>
      </c>
      <c r="DE11" s="8">
        <f t="shared" si="44"/>
        <v>0</v>
      </c>
      <c r="DF11" s="8">
        <f t="shared" si="45"/>
        <v>0</v>
      </c>
      <c r="DG11" s="8">
        <f t="shared" si="46"/>
        <v>0</v>
      </c>
      <c r="DH11" s="8">
        <f t="shared" si="47"/>
        <v>0</v>
      </c>
      <c r="DI11" s="8">
        <f t="shared" si="48"/>
        <v>0</v>
      </c>
      <c r="DJ11" s="8">
        <f t="shared" si="49"/>
        <v>0</v>
      </c>
      <c r="DK11" s="8">
        <f t="shared" si="50"/>
        <v>0</v>
      </c>
      <c r="DL11" s="8">
        <f t="shared" si="51"/>
        <v>0</v>
      </c>
      <c r="DM11" s="8">
        <f t="shared" si="52"/>
        <v>0</v>
      </c>
      <c r="DN11" s="8">
        <f t="shared" si="53"/>
        <v>0</v>
      </c>
      <c r="DO11" s="177"/>
      <c r="DP11" s="141"/>
      <c r="DQ11" s="141"/>
      <c r="DR11" s="141"/>
      <c r="DS11" s="141"/>
      <c r="DT11" s="141"/>
      <c r="DU11" s="141" t="s">
        <v>417</v>
      </c>
      <c r="DV11" s="141"/>
      <c r="DW11" s="141"/>
      <c r="DX11" s="141" t="s">
        <v>417</v>
      </c>
      <c r="DY11" s="141"/>
      <c r="DZ11" s="141" t="s">
        <v>417</v>
      </c>
      <c r="EA11" s="141"/>
      <c r="EB11" s="141" t="s">
        <v>417</v>
      </c>
      <c r="EC11" s="141" t="s">
        <v>417</v>
      </c>
      <c r="ED11" s="141" t="s">
        <v>417</v>
      </c>
      <c r="EE11" s="141"/>
      <c r="EF11" s="141"/>
      <c r="EG11" s="141"/>
      <c r="EH11" s="141"/>
      <c r="EI11" s="141"/>
      <c r="EJ11" s="142" t="s">
        <v>417</v>
      </c>
      <c r="EK11" s="180"/>
    </row>
    <row r="12" spans="2:142" x14ac:dyDescent="0.25">
      <c r="B12" s="69" t="str">
        <f>IF(Profession="","",IF(HLOOKUP(Profession,Skills!$DO$3:$EK$126,ROW(D12)-2,FALSE)="","",HLOOKUP(Profession,Skills!$DO$3:$EK$126,ROW(D12)-2,FALSE)))</f>
        <v/>
      </c>
      <c r="C12" s="32"/>
      <c r="D12" s="35" t="s">
        <v>69</v>
      </c>
      <c r="E12" s="35" t="str">
        <f t="shared" si="4"/>
        <v>Lore</v>
      </c>
      <c r="F12" s="164"/>
      <c r="G12" s="33">
        <f ca="1">SUM(I12:L12)</f>
        <v>-25</v>
      </c>
      <c r="H12" s="33">
        <f ca="1">SUM(O12:(OFFSET(O12,0,Level)))</f>
        <v>0</v>
      </c>
      <c r="I12" s="33">
        <f ca="1">IF(Level=0,"",VLOOKUP(H12,RankBonus,2,FALSE))</f>
        <v>-25</v>
      </c>
      <c r="J12" s="33">
        <f>IF(OR(M12="",M12="-"),0,VLOOKUP(MID(M12,1,2),StatBonuses,2,FALSE)+VLOOKUP(MID(M12,4,2),StatBonuses,2,FALSE)+VLOOKUP(MID(M12,7,2),StatBonuses,2,FALSE))</f>
        <v>0</v>
      </c>
      <c r="K12" s="33">
        <f t="shared" ca="1" si="8"/>
        <v>0</v>
      </c>
      <c r="L12" s="168"/>
      <c r="M12" s="33" t="str">
        <f>IF(D12="","",VLOOKUP(D12,DPCosts,2,FALSE))</f>
        <v>Me/Me/Re</v>
      </c>
      <c r="N12" s="33" t="str">
        <f>IF(OR(D12="", Profession=""),"",VLOOKUP(D12,DPCosts,MATCH(Profession,Professions,0)+2,FALSE))</f>
        <v>3/5</v>
      </c>
      <c r="O12" s="131" t="str">
        <f>IF(OR(D12="",Culture=""),"",VLOOKUP("Lore: Choice2",CultureRanks,MATCH(Culture,CultureList,0)+1,FALSE))</f>
        <v/>
      </c>
      <c r="P12" s="168"/>
      <c r="Q12" s="168"/>
      <c r="R12" s="168"/>
      <c r="S12" s="168"/>
      <c r="T12" s="168"/>
      <c r="U12" s="164"/>
      <c r="V12" s="164"/>
      <c r="W12" s="164"/>
      <c r="X12" s="164"/>
      <c r="Y12" s="164"/>
      <c r="Z12" s="164"/>
      <c r="AA12" s="164"/>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73"/>
      <c r="BO12" s="27" t="str">
        <f t="shared" si="2"/>
        <v>3</v>
      </c>
      <c r="BP12" s="8" t="str">
        <f t="shared" si="3"/>
        <v>5</v>
      </c>
      <c r="BQ12" s="8">
        <f t="shared" si="10"/>
        <v>0</v>
      </c>
      <c r="BR12" s="8">
        <f t="shared" si="11"/>
        <v>0</v>
      </c>
      <c r="BS12" s="8">
        <f t="shared" si="12"/>
        <v>0</v>
      </c>
      <c r="BT12" s="8">
        <f t="shared" si="13"/>
        <v>0</v>
      </c>
      <c r="BU12" s="8">
        <f t="shared" si="14"/>
        <v>0</v>
      </c>
      <c r="BV12" s="8">
        <f t="shared" si="15"/>
        <v>0</v>
      </c>
      <c r="BW12" s="8">
        <f t="shared" si="16"/>
        <v>0</v>
      </c>
      <c r="BX12" s="8">
        <f t="shared" si="17"/>
        <v>0</v>
      </c>
      <c r="BY12" s="8">
        <f t="shared" si="18"/>
        <v>0</v>
      </c>
      <c r="BZ12" s="8">
        <f t="shared" si="19"/>
        <v>0</v>
      </c>
      <c r="CA12" s="8">
        <f t="shared" si="20"/>
        <v>0</v>
      </c>
      <c r="CB12" s="8">
        <f t="shared" si="21"/>
        <v>0</v>
      </c>
      <c r="CC12" s="8">
        <f t="shared" si="22"/>
        <v>0</v>
      </c>
      <c r="CD12" s="8">
        <f t="shared" si="23"/>
        <v>0</v>
      </c>
      <c r="CE12" s="8">
        <f t="shared" si="24"/>
        <v>0</v>
      </c>
      <c r="CF12" s="8">
        <f t="shared" si="25"/>
        <v>0</v>
      </c>
      <c r="CG12" s="8">
        <f t="shared" si="26"/>
        <v>0</v>
      </c>
      <c r="CH12" s="8">
        <f t="shared" si="27"/>
        <v>0</v>
      </c>
      <c r="CI12" s="8">
        <f t="shared" si="28"/>
        <v>0</v>
      </c>
      <c r="CJ12" s="8">
        <f t="shared" si="55"/>
        <v>0</v>
      </c>
      <c r="CK12" s="8">
        <f t="shared" si="55"/>
        <v>0</v>
      </c>
      <c r="CL12" s="8">
        <f t="shared" si="55"/>
        <v>0</v>
      </c>
      <c r="CM12" s="8">
        <f t="shared" si="55"/>
        <v>0</v>
      </c>
      <c r="CN12" s="8">
        <f t="shared" si="55"/>
        <v>0</v>
      </c>
      <c r="CO12" s="8">
        <f t="shared" si="55"/>
        <v>0</v>
      </c>
      <c r="CP12" s="8">
        <f t="shared" si="55"/>
        <v>0</v>
      </c>
      <c r="CQ12" s="8">
        <f t="shared" si="55"/>
        <v>0</v>
      </c>
      <c r="CR12" s="8">
        <f t="shared" si="55"/>
        <v>0</v>
      </c>
      <c r="CS12" s="8">
        <f t="shared" si="55"/>
        <v>0</v>
      </c>
      <c r="CT12" s="8">
        <f t="shared" si="33"/>
        <v>0</v>
      </c>
      <c r="CU12" s="8">
        <f t="shared" si="34"/>
        <v>0</v>
      </c>
      <c r="CV12" s="8">
        <f t="shared" si="35"/>
        <v>0</v>
      </c>
      <c r="CW12" s="8">
        <f t="shared" si="36"/>
        <v>0</v>
      </c>
      <c r="CX12" s="8">
        <f t="shared" si="37"/>
        <v>0</v>
      </c>
      <c r="CY12" s="8">
        <f t="shared" si="38"/>
        <v>0</v>
      </c>
      <c r="CZ12" s="8">
        <f t="shared" si="39"/>
        <v>0</v>
      </c>
      <c r="DA12" s="8">
        <f t="shared" si="40"/>
        <v>0</v>
      </c>
      <c r="DB12" s="8">
        <f t="shared" si="41"/>
        <v>0</v>
      </c>
      <c r="DC12" s="8">
        <f t="shared" si="42"/>
        <v>0</v>
      </c>
      <c r="DD12" s="8">
        <f t="shared" si="43"/>
        <v>0</v>
      </c>
      <c r="DE12" s="8">
        <f t="shared" si="44"/>
        <v>0</v>
      </c>
      <c r="DF12" s="8">
        <f t="shared" si="45"/>
        <v>0</v>
      </c>
      <c r="DG12" s="8">
        <f t="shared" si="46"/>
        <v>0</v>
      </c>
      <c r="DH12" s="8">
        <f t="shared" si="47"/>
        <v>0</v>
      </c>
      <c r="DI12" s="8">
        <f t="shared" si="48"/>
        <v>0</v>
      </c>
      <c r="DJ12" s="8">
        <f t="shared" si="49"/>
        <v>0</v>
      </c>
      <c r="DK12" s="8">
        <f t="shared" si="50"/>
        <v>0</v>
      </c>
      <c r="DL12" s="8">
        <f t="shared" si="51"/>
        <v>0</v>
      </c>
      <c r="DM12" s="8">
        <f t="shared" si="52"/>
        <v>0</v>
      </c>
      <c r="DN12" s="8">
        <f t="shared" si="53"/>
        <v>0</v>
      </c>
      <c r="DO12" s="177"/>
      <c r="DP12" s="141"/>
      <c r="DQ12" s="141"/>
      <c r="DR12" s="141"/>
      <c r="DS12" s="141"/>
      <c r="DT12" s="141"/>
      <c r="DU12" s="141" t="s">
        <v>417</v>
      </c>
      <c r="DV12" s="141"/>
      <c r="DW12" s="141"/>
      <c r="DX12" s="141" t="s">
        <v>417</v>
      </c>
      <c r="DY12" s="141"/>
      <c r="DZ12" s="141" t="s">
        <v>417</v>
      </c>
      <c r="EA12" s="141"/>
      <c r="EB12" s="141" t="s">
        <v>417</v>
      </c>
      <c r="EC12" s="141" t="s">
        <v>417</v>
      </c>
      <c r="ED12" s="141" t="s">
        <v>417</v>
      </c>
      <c r="EE12" s="141"/>
      <c r="EF12" s="141"/>
      <c r="EG12" s="141"/>
      <c r="EH12" s="141"/>
      <c r="EI12" s="141"/>
      <c r="EJ12" s="142" t="s">
        <v>417</v>
      </c>
      <c r="EK12" s="180"/>
    </row>
    <row r="13" spans="2:142" x14ac:dyDescent="0.25">
      <c r="B13" s="69" t="str">
        <f>IF(Profession="","",IF(HLOOKUP(Profession,Skills!$DO$3:$EK$126,ROW(D13)-2,FALSE)="","",HLOOKUP(Profession,Skills!$DO$3:$EK$126,ROW(D13)-2,FALSE)))</f>
        <v/>
      </c>
      <c r="C13" s="32"/>
      <c r="D13" s="35" t="s">
        <v>69</v>
      </c>
      <c r="E13" s="35" t="str">
        <f t="shared" si="4"/>
        <v>Lore</v>
      </c>
      <c r="F13" s="164"/>
      <c r="G13" s="33">
        <f t="shared" ca="1" si="5"/>
        <v>-25</v>
      </c>
      <c r="H13" s="33">
        <f ca="1">SUM(O13:(OFFSET(O13,0,Level)))</f>
        <v>0</v>
      </c>
      <c r="I13" s="33">
        <f t="shared" ca="1" si="6"/>
        <v>-25</v>
      </c>
      <c r="J13" s="33">
        <f t="shared" si="7"/>
        <v>0</v>
      </c>
      <c r="K13" s="33">
        <f t="shared" ca="1" si="8"/>
        <v>0</v>
      </c>
      <c r="L13" s="168"/>
      <c r="M13" s="33" t="str">
        <f t="shared" si="9"/>
        <v>Me/Me/Re</v>
      </c>
      <c r="N13" s="33" t="str">
        <f t="shared" si="54"/>
        <v>3/5</v>
      </c>
      <c r="O13" s="131"/>
      <c r="P13" s="168"/>
      <c r="Q13" s="168"/>
      <c r="R13" s="168"/>
      <c r="S13" s="168"/>
      <c r="T13" s="168"/>
      <c r="U13" s="164"/>
      <c r="V13" s="164"/>
      <c r="W13" s="164"/>
      <c r="X13" s="164"/>
      <c r="Y13" s="164"/>
      <c r="Z13" s="164"/>
      <c r="AA13" s="164"/>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73"/>
      <c r="BO13" s="27" t="str">
        <f t="shared" si="2"/>
        <v>3</v>
      </c>
      <c r="BP13" s="8" t="str">
        <f t="shared" si="3"/>
        <v>5</v>
      </c>
      <c r="BQ13" s="8">
        <f t="shared" si="10"/>
        <v>0</v>
      </c>
      <c r="BR13" s="8">
        <f t="shared" si="11"/>
        <v>0</v>
      </c>
      <c r="BS13" s="8">
        <f t="shared" si="12"/>
        <v>0</v>
      </c>
      <c r="BT13" s="8">
        <f t="shared" si="13"/>
        <v>0</v>
      </c>
      <c r="BU13" s="8">
        <f t="shared" si="14"/>
        <v>0</v>
      </c>
      <c r="BV13" s="8">
        <f t="shared" si="15"/>
        <v>0</v>
      </c>
      <c r="BW13" s="8">
        <f t="shared" si="16"/>
        <v>0</v>
      </c>
      <c r="BX13" s="8">
        <f t="shared" si="17"/>
        <v>0</v>
      </c>
      <c r="BY13" s="8">
        <f t="shared" si="18"/>
        <v>0</v>
      </c>
      <c r="BZ13" s="8">
        <f t="shared" si="19"/>
        <v>0</v>
      </c>
      <c r="CA13" s="8">
        <f t="shared" si="20"/>
        <v>0</v>
      </c>
      <c r="CB13" s="8">
        <f t="shared" si="21"/>
        <v>0</v>
      </c>
      <c r="CC13" s="8">
        <f t="shared" si="22"/>
        <v>0</v>
      </c>
      <c r="CD13" s="8">
        <f t="shared" si="23"/>
        <v>0</v>
      </c>
      <c r="CE13" s="8">
        <f t="shared" si="24"/>
        <v>0</v>
      </c>
      <c r="CF13" s="8">
        <f t="shared" si="25"/>
        <v>0</v>
      </c>
      <c r="CG13" s="8">
        <f t="shared" si="26"/>
        <v>0</v>
      </c>
      <c r="CH13" s="8">
        <f t="shared" si="27"/>
        <v>0</v>
      </c>
      <c r="CI13" s="8">
        <f t="shared" si="28"/>
        <v>0</v>
      </c>
      <c r="CJ13" s="8">
        <f t="shared" si="29"/>
        <v>0</v>
      </c>
      <c r="CK13" s="8">
        <f t="shared" si="29"/>
        <v>0</v>
      </c>
      <c r="CL13" s="8">
        <f t="shared" si="29"/>
        <v>0</v>
      </c>
      <c r="CM13" s="8">
        <f t="shared" si="29"/>
        <v>0</v>
      </c>
      <c r="CN13" s="8">
        <f t="shared" si="29"/>
        <v>0</v>
      </c>
      <c r="CO13" s="8">
        <f t="shared" si="29"/>
        <v>0</v>
      </c>
      <c r="CP13" s="8">
        <f t="shared" si="29"/>
        <v>0</v>
      </c>
      <c r="CQ13" s="8">
        <f t="shared" si="30"/>
        <v>0</v>
      </c>
      <c r="CR13" s="8">
        <f t="shared" si="31"/>
        <v>0</v>
      </c>
      <c r="CS13" s="8">
        <f t="shared" si="32"/>
        <v>0</v>
      </c>
      <c r="CT13" s="8">
        <f t="shared" si="33"/>
        <v>0</v>
      </c>
      <c r="CU13" s="8">
        <f t="shared" si="34"/>
        <v>0</v>
      </c>
      <c r="CV13" s="8">
        <f t="shared" si="35"/>
        <v>0</v>
      </c>
      <c r="CW13" s="8">
        <f t="shared" si="36"/>
        <v>0</v>
      </c>
      <c r="CX13" s="8">
        <f t="shared" si="37"/>
        <v>0</v>
      </c>
      <c r="CY13" s="8">
        <f t="shared" si="38"/>
        <v>0</v>
      </c>
      <c r="CZ13" s="8">
        <f t="shared" si="39"/>
        <v>0</v>
      </c>
      <c r="DA13" s="8">
        <f t="shared" si="40"/>
        <v>0</v>
      </c>
      <c r="DB13" s="8">
        <f t="shared" si="41"/>
        <v>0</v>
      </c>
      <c r="DC13" s="8">
        <f t="shared" si="42"/>
        <v>0</v>
      </c>
      <c r="DD13" s="8">
        <f t="shared" si="43"/>
        <v>0</v>
      </c>
      <c r="DE13" s="8">
        <f t="shared" si="44"/>
        <v>0</v>
      </c>
      <c r="DF13" s="8">
        <f t="shared" si="45"/>
        <v>0</v>
      </c>
      <c r="DG13" s="8">
        <f t="shared" si="46"/>
        <v>0</v>
      </c>
      <c r="DH13" s="8">
        <f t="shared" si="47"/>
        <v>0</v>
      </c>
      <c r="DI13" s="8">
        <f t="shared" si="48"/>
        <v>0</v>
      </c>
      <c r="DJ13" s="8">
        <f t="shared" si="49"/>
        <v>0</v>
      </c>
      <c r="DK13" s="8">
        <f t="shared" si="50"/>
        <v>0</v>
      </c>
      <c r="DL13" s="8">
        <f t="shared" si="51"/>
        <v>0</v>
      </c>
      <c r="DM13" s="8">
        <f t="shared" si="52"/>
        <v>0</v>
      </c>
      <c r="DN13" s="8">
        <f t="shared" si="53"/>
        <v>0</v>
      </c>
      <c r="DO13" s="177"/>
      <c r="DP13" s="141"/>
      <c r="DQ13" s="141"/>
      <c r="DR13" s="141"/>
      <c r="DS13" s="141"/>
      <c r="DT13" s="141"/>
      <c r="DU13" s="141" t="s">
        <v>417</v>
      </c>
      <c r="DV13" s="141"/>
      <c r="DW13" s="141"/>
      <c r="DX13" s="141" t="s">
        <v>417</v>
      </c>
      <c r="DY13" s="141"/>
      <c r="DZ13" s="141" t="s">
        <v>417</v>
      </c>
      <c r="EA13" s="141"/>
      <c r="EB13" s="141" t="s">
        <v>417</v>
      </c>
      <c r="EC13" s="141" t="s">
        <v>417</v>
      </c>
      <c r="ED13" s="141" t="s">
        <v>417</v>
      </c>
      <c r="EE13" s="141"/>
      <c r="EF13" s="141"/>
      <c r="EG13" s="141"/>
      <c r="EH13" s="141"/>
      <c r="EI13" s="141"/>
      <c r="EJ13" s="142" t="s">
        <v>417</v>
      </c>
      <c r="EK13" s="180"/>
    </row>
    <row r="14" spans="2:142" x14ac:dyDescent="0.25">
      <c r="B14" s="69" t="str">
        <f>IF(Profession="","",IF(HLOOKUP(Profession,Skills!$DO$3:$EK$126,ROW(D14)-2,FALSE)="","",HLOOKUP(Profession,Skills!$DO$3:$EK$126,ROW(D14)-2,FALSE)))</f>
        <v/>
      </c>
      <c r="C14" s="32"/>
      <c r="D14" s="35" t="s">
        <v>69</v>
      </c>
      <c r="E14" s="35" t="str">
        <f t="shared" si="4"/>
        <v>Lore</v>
      </c>
      <c r="F14" s="164"/>
      <c r="G14" s="33">
        <f t="shared" ca="1" si="5"/>
        <v>-25</v>
      </c>
      <c r="H14" s="33">
        <f ca="1">SUM(O14:(OFFSET(O14,0,Level)))</f>
        <v>0</v>
      </c>
      <c r="I14" s="33">
        <f t="shared" ca="1" si="6"/>
        <v>-25</v>
      </c>
      <c r="J14" s="33">
        <f t="shared" si="7"/>
        <v>0</v>
      </c>
      <c r="K14" s="33">
        <f t="shared" ca="1" si="8"/>
        <v>0</v>
      </c>
      <c r="L14" s="168"/>
      <c r="M14" s="33" t="str">
        <f t="shared" si="9"/>
        <v>Me/Me/Re</v>
      </c>
      <c r="N14" s="33" t="str">
        <f t="shared" si="54"/>
        <v>3/5</v>
      </c>
      <c r="O14" s="131"/>
      <c r="P14" s="168"/>
      <c r="Q14" s="168"/>
      <c r="R14" s="168"/>
      <c r="S14" s="168"/>
      <c r="T14" s="168"/>
      <c r="U14" s="164"/>
      <c r="V14" s="164"/>
      <c r="W14" s="164"/>
      <c r="X14" s="164"/>
      <c r="Y14" s="164"/>
      <c r="Z14" s="164"/>
      <c r="AA14" s="164"/>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73"/>
      <c r="BO14" s="27" t="str">
        <f t="shared" si="2"/>
        <v>3</v>
      </c>
      <c r="BP14" s="8" t="str">
        <f t="shared" si="3"/>
        <v>5</v>
      </c>
      <c r="BQ14" s="8">
        <f t="shared" si="10"/>
        <v>0</v>
      </c>
      <c r="BR14" s="8">
        <f t="shared" si="11"/>
        <v>0</v>
      </c>
      <c r="BS14" s="8">
        <f t="shared" si="12"/>
        <v>0</v>
      </c>
      <c r="BT14" s="8">
        <f t="shared" si="13"/>
        <v>0</v>
      </c>
      <c r="BU14" s="8">
        <f t="shared" si="14"/>
        <v>0</v>
      </c>
      <c r="BV14" s="8">
        <f t="shared" si="15"/>
        <v>0</v>
      </c>
      <c r="BW14" s="8">
        <f t="shared" si="16"/>
        <v>0</v>
      </c>
      <c r="BX14" s="8">
        <f t="shared" si="17"/>
        <v>0</v>
      </c>
      <c r="BY14" s="8">
        <f t="shared" si="18"/>
        <v>0</v>
      </c>
      <c r="BZ14" s="8">
        <f t="shared" si="19"/>
        <v>0</v>
      </c>
      <c r="CA14" s="8">
        <f t="shared" si="20"/>
        <v>0</v>
      </c>
      <c r="CB14" s="8">
        <f t="shared" si="21"/>
        <v>0</v>
      </c>
      <c r="CC14" s="8">
        <f t="shared" si="22"/>
        <v>0</v>
      </c>
      <c r="CD14" s="8">
        <f t="shared" si="23"/>
        <v>0</v>
      </c>
      <c r="CE14" s="8">
        <f t="shared" si="24"/>
        <v>0</v>
      </c>
      <c r="CF14" s="8">
        <f t="shared" si="25"/>
        <v>0</v>
      </c>
      <c r="CG14" s="8">
        <f t="shared" si="26"/>
        <v>0</v>
      </c>
      <c r="CH14" s="8">
        <f t="shared" si="27"/>
        <v>0</v>
      </c>
      <c r="CI14" s="8">
        <f t="shared" si="28"/>
        <v>0</v>
      </c>
      <c r="CJ14" s="8">
        <f t="shared" si="29"/>
        <v>0</v>
      </c>
      <c r="CK14" s="8">
        <f t="shared" si="29"/>
        <v>0</v>
      </c>
      <c r="CL14" s="8">
        <f t="shared" si="29"/>
        <v>0</v>
      </c>
      <c r="CM14" s="8">
        <f t="shared" si="29"/>
        <v>0</v>
      </c>
      <c r="CN14" s="8">
        <f t="shared" si="29"/>
        <v>0</v>
      </c>
      <c r="CO14" s="8">
        <f t="shared" si="29"/>
        <v>0</v>
      </c>
      <c r="CP14" s="8">
        <f t="shared" si="29"/>
        <v>0</v>
      </c>
      <c r="CQ14" s="8">
        <f t="shared" si="30"/>
        <v>0</v>
      </c>
      <c r="CR14" s="8">
        <f t="shared" si="31"/>
        <v>0</v>
      </c>
      <c r="CS14" s="8">
        <f t="shared" si="32"/>
        <v>0</v>
      </c>
      <c r="CT14" s="8">
        <f t="shared" si="33"/>
        <v>0</v>
      </c>
      <c r="CU14" s="8">
        <f t="shared" si="34"/>
        <v>0</v>
      </c>
      <c r="CV14" s="8">
        <f t="shared" si="35"/>
        <v>0</v>
      </c>
      <c r="CW14" s="8">
        <f t="shared" si="36"/>
        <v>0</v>
      </c>
      <c r="CX14" s="8">
        <f t="shared" si="37"/>
        <v>0</v>
      </c>
      <c r="CY14" s="8">
        <f t="shared" si="38"/>
        <v>0</v>
      </c>
      <c r="CZ14" s="8">
        <f t="shared" si="39"/>
        <v>0</v>
      </c>
      <c r="DA14" s="8">
        <f t="shared" si="40"/>
        <v>0</v>
      </c>
      <c r="DB14" s="8">
        <f t="shared" si="41"/>
        <v>0</v>
      </c>
      <c r="DC14" s="8">
        <f t="shared" si="42"/>
        <v>0</v>
      </c>
      <c r="DD14" s="8">
        <f t="shared" si="43"/>
        <v>0</v>
      </c>
      <c r="DE14" s="8">
        <f t="shared" si="44"/>
        <v>0</v>
      </c>
      <c r="DF14" s="8">
        <f t="shared" si="45"/>
        <v>0</v>
      </c>
      <c r="DG14" s="8">
        <f t="shared" si="46"/>
        <v>0</v>
      </c>
      <c r="DH14" s="8">
        <f t="shared" si="47"/>
        <v>0</v>
      </c>
      <c r="DI14" s="8">
        <f t="shared" si="48"/>
        <v>0</v>
      </c>
      <c r="DJ14" s="8">
        <f t="shared" si="49"/>
        <v>0</v>
      </c>
      <c r="DK14" s="8">
        <f t="shared" si="50"/>
        <v>0</v>
      </c>
      <c r="DL14" s="8">
        <f t="shared" si="51"/>
        <v>0</v>
      </c>
      <c r="DM14" s="8">
        <f t="shared" si="52"/>
        <v>0</v>
      </c>
      <c r="DN14" s="8">
        <f t="shared" si="53"/>
        <v>0</v>
      </c>
      <c r="DO14" s="177"/>
      <c r="DP14" s="141"/>
      <c r="DQ14" s="141"/>
      <c r="DR14" s="141"/>
      <c r="DS14" s="141"/>
      <c r="DT14" s="141"/>
      <c r="DU14" s="141" t="s">
        <v>417</v>
      </c>
      <c r="DV14" s="141"/>
      <c r="DW14" s="141"/>
      <c r="DX14" s="141" t="s">
        <v>417</v>
      </c>
      <c r="DY14" s="141"/>
      <c r="DZ14" s="141" t="s">
        <v>417</v>
      </c>
      <c r="EA14" s="141"/>
      <c r="EB14" s="141" t="s">
        <v>417</v>
      </c>
      <c r="EC14" s="141" t="s">
        <v>417</v>
      </c>
      <c r="ED14" s="141" t="s">
        <v>417</v>
      </c>
      <c r="EE14" s="141"/>
      <c r="EF14" s="141"/>
      <c r="EG14" s="141"/>
      <c r="EH14" s="141"/>
      <c r="EI14" s="141"/>
      <c r="EJ14" s="142" t="s">
        <v>417</v>
      </c>
      <c r="EK14" s="180"/>
    </row>
    <row r="15" spans="2:142" x14ac:dyDescent="0.25">
      <c r="B15" s="69" t="str">
        <f>IF(Profession="","",IF(HLOOKUP(Profession,Skills!$DO$3:$EK$126,ROW(D15)-2,FALSE)="","",HLOOKUP(Profession,Skills!$DO$3:$EK$126,ROW(D15)-2,FALSE)))</f>
        <v/>
      </c>
      <c r="C15" s="32"/>
      <c r="D15" s="35" t="s">
        <v>70</v>
      </c>
      <c r="E15" s="35" t="str">
        <f t="shared" si="4"/>
        <v>Science</v>
      </c>
      <c r="F15" s="164" t="s">
        <v>249</v>
      </c>
      <c r="G15" s="33">
        <f ca="1">SUM(I15:L15)</f>
        <v>-25</v>
      </c>
      <c r="H15" s="33">
        <f ca="1">SUM(O15:(OFFSET(O15,0,Level)))</f>
        <v>0</v>
      </c>
      <c r="I15" s="33">
        <f ca="1">IF(Level=0,"",VLOOKUP(H15,RankBonus,2,FALSE))</f>
        <v>-25</v>
      </c>
      <c r="J15" s="33">
        <f>IF(OR(M15="",M15="-"),0,VLOOKUP(MID(M15,1,2),StatBonuses,2,FALSE)+VLOOKUP(MID(M15,4,2),StatBonuses,2,FALSE)+VLOOKUP(MID(M15,7,2),StatBonuses,2,FALSE))</f>
        <v>0</v>
      </c>
      <c r="K15" s="33">
        <f t="shared" ca="1" si="8"/>
        <v>0</v>
      </c>
      <c r="L15" s="168"/>
      <c r="M15" s="33" t="str">
        <f>IF(D15="","",VLOOKUP(D15,DPCosts,2,FALSE))</f>
        <v>Me/Re/Re</v>
      </c>
      <c r="N15" s="33" t="str">
        <f>IF(OR(D15="", Profession=""),"",VLOOKUP(D15,DPCosts,MATCH(Profession,Professions,0)+2,FALSE))</f>
        <v>5/7</v>
      </c>
      <c r="O15" s="131" t="str">
        <f>IF(OR(D15="",Culture=""),"",VLOOKUP("Science: Mathematics",CultureRanks,MATCH(Culture,CultureList,0)+1,FALSE))</f>
        <v/>
      </c>
      <c r="P15" s="168"/>
      <c r="Q15" s="168"/>
      <c r="R15" s="168"/>
      <c r="S15" s="168"/>
      <c r="T15" s="168"/>
      <c r="U15" s="164"/>
      <c r="V15" s="164"/>
      <c r="W15" s="164"/>
      <c r="X15" s="164"/>
      <c r="Y15" s="164"/>
      <c r="Z15" s="164"/>
      <c r="AA15" s="164"/>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73"/>
      <c r="BO15" s="27" t="str">
        <f t="shared" si="2"/>
        <v>5</v>
      </c>
      <c r="BP15" s="8" t="str">
        <f t="shared" si="3"/>
        <v>7</v>
      </c>
      <c r="BQ15" s="8">
        <f t="shared" si="10"/>
        <v>0</v>
      </c>
      <c r="BR15" s="8">
        <f t="shared" si="11"/>
        <v>0</v>
      </c>
      <c r="BS15" s="8">
        <f t="shared" si="12"/>
        <v>0</v>
      </c>
      <c r="BT15" s="8">
        <f t="shared" si="13"/>
        <v>0</v>
      </c>
      <c r="BU15" s="8">
        <f t="shared" si="14"/>
        <v>0</v>
      </c>
      <c r="BV15" s="8">
        <f t="shared" si="15"/>
        <v>0</v>
      </c>
      <c r="BW15" s="8">
        <f t="shared" si="16"/>
        <v>0</v>
      </c>
      <c r="BX15" s="8">
        <f t="shared" si="17"/>
        <v>0</v>
      </c>
      <c r="BY15" s="8">
        <f t="shared" si="18"/>
        <v>0</v>
      </c>
      <c r="BZ15" s="8">
        <f t="shared" si="19"/>
        <v>0</v>
      </c>
      <c r="CA15" s="8">
        <f t="shared" si="20"/>
        <v>0</v>
      </c>
      <c r="CB15" s="8">
        <f t="shared" si="21"/>
        <v>0</v>
      </c>
      <c r="CC15" s="8">
        <f t="shared" si="22"/>
        <v>0</v>
      </c>
      <c r="CD15" s="8">
        <f t="shared" si="23"/>
        <v>0</v>
      </c>
      <c r="CE15" s="8">
        <f t="shared" si="24"/>
        <v>0</v>
      </c>
      <c r="CF15" s="8">
        <f t="shared" si="25"/>
        <v>0</v>
      </c>
      <c r="CG15" s="8">
        <f t="shared" si="26"/>
        <v>0</v>
      </c>
      <c r="CH15" s="8">
        <f t="shared" si="27"/>
        <v>0</v>
      </c>
      <c r="CI15" s="8">
        <f t="shared" si="28"/>
        <v>0</v>
      </c>
      <c r="CJ15" s="8">
        <f t="shared" ref="CJ15:DN15" si="56">IF(AI15=0,0,IF(AI15=1,INT($BO15),$BO15+$BP15*(AI15-1)))</f>
        <v>0</v>
      </c>
      <c r="CK15" s="8">
        <f t="shared" si="56"/>
        <v>0</v>
      </c>
      <c r="CL15" s="8">
        <f t="shared" si="56"/>
        <v>0</v>
      </c>
      <c r="CM15" s="8">
        <f t="shared" si="56"/>
        <v>0</v>
      </c>
      <c r="CN15" s="8">
        <f t="shared" si="56"/>
        <v>0</v>
      </c>
      <c r="CO15" s="8">
        <f t="shared" si="56"/>
        <v>0</v>
      </c>
      <c r="CP15" s="8">
        <f t="shared" si="56"/>
        <v>0</v>
      </c>
      <c r="CQ15" s="8">
        <f t="shared" si="56"/>
        <v>0</v>
      </c>
      <c r="CR15" s="8">
        <f t="shared" si="56"/>
        <v>0</v>
      </c>
      <c r="CS15" s="8">
        <f t="shared" si="56"/>
        <v>0</v>
      </c>
      <c r="CT15" s="8">
        <f t="shared" si="56"/>
        <v>0</v>
      </c>
      <c r="CU15" s="8">
        <f t="shared" si="56"/>
        <v>0</v>
      </c>
      <c r="CV15" s="8">
        <f t="shared" si="56"/>
        <v>0</v>
      </c>
      <c r="CW15" s="8">
        <f t="shared" si="56"/>
        <v>0</v>
      </c>
      <c r="CX15" s="8">
        <f t="shared" si="56"/>
        <v>0</v>
      </c>
      <c r="CY15" s="8">
        <f t="shared" si="56"/>
        <v>0</v>
      </c>
      <c r="CZ15" s="8">
        <f t="shared" si="56"/>
        <v>0</v>
      </c>
      <c r="DA15" s="8">
        <f t="shared" si="56"/>
        <v>0</v>
      </c>
      <c r="DB15" s="8">
        <f t="shared" si="56"/>
        <v>0</v>
      </c>
      <c r="DC15" s="8">
        <f t="shared" si="56"/>
        <v>0</v>
      </c>
      <c r="DD15" s="8">
        <f t="shared" si="56"/>
        <v>0</v>
      </c>
      <c r="DE15" s="8">
        <f t="shared" si="56"/>
        <v>0</v>
      </c>
      <c r="DF15" s="8">
        <f t="shared" si="56"/>
        <v>0</v>
      </c>
      <c r="DG15" s="8">
        <f t="shared" si="56"/>
        <v>0</v>
      </c>
      <c r="DH15" s="8">
        <f t="shared" si="56"/>
        <v>0</v>
      </c>
      <c r="DI15" s="8">
        <f t="shared" si="56"/>
        <v>0</v>
      </c>
      <c r="DJ15" s="8">
        <f t="shared" si="56"/>
        <v>0</v>
      </c>
      <c r="DK15" s="8">
        <f t="shared" si="56"/>
        <v>0</v>
      </c>
      <c r="DL15" s="8">
        <f t="shared" si="56"/>
        <v>0</v>
      </c>
      <c r="DM15" s="8">
        <f t="shared" si="56"/>
        <v>0</v>
      </c>
      <c r="DN15" s="8">
        <f t="shared" si="56"/>
        <v>0</v>
      </c>
      <c r="DO15" s="177"/>
      <c r="DP15" s="141"/>
      <c r="DQ15" s="141"/>
      <c r="DR15" s="141"/>
      <c r="DS15" s="141"/>
      <c r="DT15" s="141"/>
      <c r="DU15" s="141" t="s">
        <v>417</v>
      </c>
      <c r="DV15" s="141"/>
      <c r="DW15" s="141"/>
      <c r="DX15" s="141"/>
      <c r="DY15" s="141"/>
      <c r="DZ15" s="141"/>
      <c r="EA15" s="141"/>
      <c r="EB15" s="141"/>
      <c r="EC15" s="141"/>
      <c r="ED15" s="141" t="s">
        <v>417</v>
      </c>
      <c r="EE15" s="141"/>
      <c r="EF15" s="141"/>
      <c r="EG15" s="141"/>
      <c r="EH15" s="141"/>
      <c r="EI15" s="141"/>
      <c r="EJ15" s="142" t="s">
        <v>417</v>
      </c>
      <c r="EK15" s="180"/>
    </row>
    <row r="16" spans="2:142" x14ac:dyDescent="0.25">
      <c r="B16" s="69" t="str">
        <f>IF(Profession="","",IF(HLOOKUP(Profession,Skills!$DO$3:$EK$126,ROW(D16)-2,FALSE)="","",HLOOKUP(Profession,Skills!$DO$3:$EK$126,ROW(D16)-2,FALSE)))</f>
        <v/>
      </c>
      <c r="C16" s="32"/>
      <c r="D16" s="35" t="s">
        <v>70</v>
      </c>
      <c r="E16" s="35" t="str">
        <f t="shared" si="4"/>
        <v>Science</v>
      </c>
      <c r="F16" s="164"/>
      <c r="G16" s="33">
        <f t="shared" ca="1" si="5"/>
        <v>-25</v>
      </c>
      <c r="H16" s="33">
        <f ca="1">SUM(O16:(OFFSET(O16,0,Level)))</f>
        <v>0</v>
      </c>
      <c r="I16" s="33">
        <f t="shared" ca="1" si="6"/>
        <v>-25</v>
      </c>
      <c r="J16" s="33">
        <f t="shared" si="7"/>
        <v>0</v>
      </c>
      <c r="K16" s="33">
        <f t="shared" ca="1" si="8"/>
        <v>0</v>
      </c>
      <c r="L16" s="168"/>
      <c r="M16" s="33" t="str">
        <f t="shared" si="9"/>
        <v>Me/Re/Re</v>
      </c>
      <c r="N16" s="33" t="str">
        <f t="shared" si="54"/>
        <v>5/7</v>
      </c>
      <c r="O16" s="131"/>
      <c r="P16" s="168"/>
      <c r="Q16" s="168"/>
      <c r="R16" s="168"/>
      <c r="S16" s="168"/>
      <c r="T16" s="168"/>
      <c r="U16" s="164"/>
      <c r="V16" s="164"/>
      <c r="W16" s="164"/>
      <c r="X16" s="164"/>
      <c r="Y16" s="164"/>
      <c r="Z16" s="164"/>
      <c r="AA16" s="164"/>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73"/>
      <c r="BO16" s="27" t="str">
        <f t="shared" si="2"/>
        <v>5</v>
      </c>
      <c r="BP16" s="8" t="str">
        <f t="shared" si="3"/>
        <v>7</v>
      </c>
      <c r="BQ16" s="8">
        <f t="shared" si="10"/>
        <v>0</v>
      </c>
      <c r="BR16" s="8">
        <f t="shared" si="11"/>
        <v>0</v>
      </c>
      <c r="BS16" s="8">
        <f t="shared" si="12"/>
        <v>0</v>
      </c>
      <c r="BT16" s="8">
        <f t="shared" si="13"/>
        <v>0</v>
      </c>
      <c r="BU16" s="8">
        <f t="shared" si="14"/>
        <v>0</v>
      </c>
      <c r="BV16" s="8">
        <f t="shared" si="15"/>
        <v>0</v>
      </c>
      <c r="BW16" s="8">
        <f t="shared" si="16"/>
        <v>0</v>
      </c>
      <c r="BX16" s="8">
        <f t="shared" si="17"/>
        <v>0</v>
      </c>
      <c r="BY16" s="8">
        <f t="shared" si="18"/>
        <v>0</v>
      </c>
      <c r="BZ16" s="8">
        <f t="shared" si="19"/>
        <v>0</v>
      </c>
      <c r="CA16" s="8">
        <f t="shared" si="20"/>
        <v>0</v>
      </c>
      <c r="CB16" s="8">
        <f t="shared" si="21"/>
        <v>0</v>
      </c>
      <c r="CC16" s="8">
        <f t="shared" si="22"/>
        <v>0</v>
      </c>
      <c r="CD16" s="8">
        <f t="shared" si="23"/>
        <v>0</v>
      </c>
      <c r="CE16" s="8">
        <f t="shared" si="24"/>
        <v>0</v>
      </c>
      <c r="CF16" s="8">
        <f t="shared" si="25"/>
        <v>0</v>
      </c>
      <c r="CG16" s="8">
        <f t="shared" si="26"/>
        <v>0</v>
      </c>
      <c r="CH16" s="8">
        <f t="shared" si="27"/>
        <v>0</v>
      </c>
      <c r="CI16" s="8">
        <f t="shared" si="28"/>
        <v>0</v>
      </c>
      <c r="CJ16" s="8">
        <f t="shared" si="29"/>
        <v>0</v>
      </c>
      <c r="CK16" s="8">
        <f t="shared" si="29"/>
        <v>0</v>
      </c>
      <c r="CL16" s="8">
        <f t="shared" si="29"/>
        <v>0</v>
      </c>
      <c r="CM16" s="8">
        <f t="shared" si="29"/>
        <v>0</v>
      </c>
      <c r="CN16" s="8">
        <f t="shared" si="29"/>
        <v>0</v>
      </c>
      <c r="CO16" s="8">
        <f t="shared" si="29"/>
        <v>0</v>
      </c>
      <c r="CP16" s="8">
        <f t="shared" si="29"/>
        <v>0</v>
      </c>
      <c r="CQ16" s="8">
        <f t="shared" si="30"/>
        <v>0</v>
      </c>
      <c r="CR16" s="8">
        <f t="shared" si="31"/>
        <v>0</v>
      </c>
      <c r="CS16" s="8">
        <f t="shared" si="32"/>
        <v>0</v>
      </c>
      <c r="CT16" s="8">
        <f t="shared" si="33"/>
        <v>0</v>
      </c>
      <c r="CU16" s="8">
        <f t="shared" si="34"/>
        <v>0</v>
      </c>
      <c r="CV16" s="8">
        <f t="shared" si="35"/>
        <v>0</v>
      </c>
      <c r="CW16" s="8">
        <f t="shared" si="36"/>
        <v>0</v>
      </c>
      <c r="CX16" s="8">
        <f t="shared" si="37"/>
        <v>0</v>
      </c>
      <c r="CY16" s="8">
        <f t="shared" si="38"/>
        <v>0</v>
      </c>
      <c r="CZ16" s="8">
        <f t="shared" si="39"/>
        <v>0</v>
      </c>
      <c r="DA16" s="8">
        <f t="shared" si="40"/>
        <v>0</v>
      </c>
      <c r="DB16" s="8">
        <f t="shared" si="41"/>
        <v>0</v>
      </c>
      <c r="DC16" s="8">
        <f t="shared" si="42"/>
        <v>0</v>
      </c>
      <c r="DD16" s="8">
        <f t="shared" si="43"/>
        <v>0</v>
      </c>
      <c r="DE16" s="8">
        <f t="shared" si="44"/>
        <v>0</v>
      </c>
      <c r="DF16" s="8">
        <f t="shared" si="45"/>
        <v>0</v>
      </c>
      <c r="DG16" s="8">
        <f t="shared" si="46"/>
        <v>0</v>
      </c>
      <c r="DH16" s="8">
        <f t="shared" si="47"/>
        <v>0</v>
      </c>
      <c r="DI16" s="8">
        <f t="shared" si="48"/>
        <v>0</v>
      </c>
      <c r="DJ16" s="8">
        <f t="shared" si="49"/>
        <v>0</v>
      </c>
      <c r="DK16" s="8">
        <f t="shared" si="50"/>
        <v>0</v>
      </c>
      <c r="DL16" s="8">
        <f t="shared" si="51"/>
        <v>0</v>
      </c>
      <c r="DM16" s="8">
        <f t="shared" si="52"/>
        <v>0</v>
      </c>
      <c r="DN16" s="8">
        <f t="shared" si="53"/>
        <v>0</v>
      </c>
      <c r="DO16" s="177"/>
      <c r="DP16" s="141"/>
      <c r="DQ16" s="141"/>
      <c r="DR16" s="141"/>
      <c r="DS16" s="141"/>
      <c r="DT16" s="141"/>
      <c r="DU16" s="141" t="s">
        <v>417</v>
      </c>
      <c r="DV16" s="141"/>
      <c r="DW16" s="141"/>
      <c r="DX16" s="141"/>
      <c r="DY16" s="141"/>
      <c r="DZ16" s="141"/>
      <c r="EA16" s="141"/>
      <c r="EB16" s="141"/>
      <c r="EC16" s="141"/>
      <c r="ED16" s="141" t="s">
        <v>417</v>
      </c>
      <c r="EE16" s="141"/>
      <c r="EF16" s="141"/>
      <c r="EG16" s="141"/>
      <c r="EH16" s="141"/>
      <c r="EI16" s="141"/>
      <c r="EJ16" s="142" t="s">
        <v>417</v>
      </c>
      <c r="EK16" s="180"/>
    </row>
    <row r="17" spans="2:141" x14ac:dyDescent="0.25">
      <c r="B17" s="69" t="str">
        <f>IF(Profession="","",IF(HLOOKUP(Profession,Skills!$DO$3:$EK$126,ROW(D17)-2,FALSE)="","",HLOOKUP(Profession,Skills!$DO$3:$EK$126,ROW(D17)-2,FALSE)))</f>
        <v/>
      </c>
      <c r="C17" s="32"/>
      <c r="D17" s="35" t="s">
        <v>70</v>
      </c>
      <c r="E17" s="35" t="str">
        <f t="shared" si="4"/>
        <v>Science</v>
      </c>
      <c r="F17" s="164"/>
      <c r="G17" s="33">
        <f t="shared" ca="1" si="5"/>
        <v>-25</v>
      </c>
      <c r="H17" s="33">
        <f ca="1">SUM(O17:(OFFSET(O17,0,Level)))</f>
        <v>0</v>
      </c>
      <c r="I17" s="33">
        <f t="shared" ca="1" si="6"/>
        <v>-25</v>
      </c>
      <c r="J17" s="33">
        <f t="shared" si="7"/>
        <v>0</v>
      </c>
      <c r="K17" s="33">
        <f t="shared" ca="1" si="8"/>
        <v>0</v>
      </c>
      <c r="L17" s="168"/>
      <c r="M17" s="33" t="str">
        <f t="shared" si="9"/>
        <v>Me/Re/Re</v>
      </c>
      <c r="N17" s="33" t="str">
        <f t="shared" si="54"/>
        <v>5/7</v>
      </c>
      <c r="O17" s="131"/>
      <c r="P17" s="168"/>
      <c r="Q17" s="168"/>
      <c r="R17" s="168"/>
      <c r="S17" s="168"/>
      <c r="T17" s="168"/>
      <c r="U17" s="164"/>
      <c r="V17" s="164"/>
      <c r="W17" s="164"/>
      <c r="X17" s="164"/>
      <c r="Y17" s="164"/>
      <c r="Z17" s="164"/>
      <c r="AA17" s="164"/>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73"/>
      <c r="BO17" s="27" t="str">
        <f t="shared" si="2"/>
        <v>5</v>
      </c>
      <c r="BP17" s="8" t="str">
        <f t="shared" si="3"/>
        <v>7</v>
      </c>
      <c r="BQ17" s="8">
        <f t="shared" si="10"/>
        <v>0</v>
      </c>
      <c r="BR17" s="8">
        <f t="shared" si="11"/>
        <v>0</v>
      </c>
      <c r="BS17" s="8">
        <f t="shared" si="12"/>
        <v>0</v>
      </c>
      <c r="BT17" s="8">
        <f t="shared" si="13"/>
        <v>0</v>
      </c>
      <c r="BU17" s="8">
        <f t="shared" si="14"/>
        <v>0</v>
      </c>
      <c r="BV17" s="8">
        <f t="shared" si="15"/>
        <v>0</v>
      </c>
      <c r="BW17" s="8">
        <f t="shared" si="16"/>
        <v>0</v>
      </c>
      <c r="BX17" s="8">
        <f t="shared" si="17"/>
        <v>0</v>
      </c>
      <c r="BY17" s="8">
        <f t="shared" si="18"/>
        <v>0</v>
      </c>
      <c r="BZ17" s="8">
        <f t="shared" si="19"/>
        <v>0</v>
      </c>
      <c r="CA17" s="8">
        <f t="shared" si="20"/>
        <v>0</v>
      </c>
      <c r="CB17" s="8">
        <f t="shared" si="21"/>
        <v>0</v>
      </c>
      <c r="CC17" s="8">
        <f t="shared" si="22"/>
        <v>0</v>
      </c>
      <c r="CD17" s="8">
        <f t="shared" si="23"/>
        <v>0</v>
      </c>
      <c r="CE17" s="8">
        <f t="shared" si="24"/>
        <v>0</v>
      </c>
      <c r="CF17" s="8">
        <f t="shared" si="25"/>
        <v>0</v>
      </c>
      <c r="CG17" s="8">
        <f t="shared" si="26"/>
        <v>0</v>
      </c>
      <c r="CH17" s="8">
        <f t="shared" si="27"/>
        <v>0</v>
      </c>
      <c r="CI17" s="8">
        <f t="shared" si="28"/>
        <v>0</v>
      </c>
      <c r="CJ17" s="8">
        <f t="shared" si="29"/>
        <v>0</v>
      </c>
      <c r="CK17" s="8">
        <f t="shared" si="29"/>
        <v>0</v>
      </c>
      <c r="CL17" s="8">
        <f t="shared" si="29"/>
        <v>0</v>
      </c>
      <c r="CM17" s="8">
        <f t="shared" si="29"/>
        <v>0</v>
      </c>
      <c r="CN17" s="8">
        <f t="shared" si="29"/>
        <v>0</v>
      </c>
      <c r="CO17" s="8">
        <f t="shared" si="29"/>
        <v>0</v>
      </c>
      <c r="CP17" s="8">
        <f t="shared" si="29"/>
        <v>0</v>
      </c>
      <c r="CQ17" s="8">
        <f t="shared" si="30"/>
        <v>0</v>
      </c>
      <c r="CR17" s="8">
        <f t="shared" si="31"/>
        <v>0</v>
      </c>
      <c r="CS17" s="8">
        <f t="shared" si="32"/>
        <v>0</v>
      </c>
      <c r="CT17" s="8">
        <f t="shared" si="33"/>
        <v>0</v>
      </c>
      <c r="CU17" s="8">
        <f t="shared" si="34"/>
        <v>0</v>
      </c>
      <c r="CV17" s="8">
        <f t="shared" si="35"/>
        <v>0</v>
      </c>
      <c r="CW17" s="8">
        <f t="shared" si="36"/>
        <v>0</v>
      </c>
      <c r="CX17" s="8">
        <f t="shared" si="37"/>
        <v>0</v>
      </c>
      <c r="CY17" s="8">
        <f t="shared" si="38"/>
        <v>0</v>
      </c>
      <c r="CZ17" s="8">
        <f t="shared" si="39"/>
        <v>0</v>
      </c>
      <c r="DA17" s="8">
        <f t="shared" si="40"/>
        <v>0</v>
      </c>
      <c r="DB17" s="8">
        <f t="shared" si="41"/>
        <v>0</v>
      </c>
      <c r="DC17" s="8">
        <f t="shared" si="42"/>
        <v>0</v>
      </c>
      <c r="DD17" s="8">
        <f t="shared" si="43"/>
        <v>0</v>
      </c>
      <c r="DE17" s="8">
        <f t="shared" si="44"/>
        <v>0</v>
      </c>
      <c r="DF17" s="8">
        <f t="shared" si="45"/>
        <v>0</v>
      </c>
      <c r="DG17" s="8">
        <f t="shared" si="46"/>
        <v>0</v>
      </c>
      <c r="DH17" s="8">
        <f t="shared" si="47"/>
        <v>0</v>
      </c>
      <c r="DI17" s="8">
        <f t="shared" si="48"/>
        <v>0</v>
      </c>
      <c r="DJ17" s="8">
        <f t="shared" si="49"/>
        <v>0</v>
      </c>
      <c r="DK17" s="8">
        <f t="shared" si="50"/>
        <v>0</v>
      </c>
      <c r="DL17" s="8">
        <f t="shared" si="51"/>
        <v>0</v>
      </c>
      <c r="DM17" s="8">
        <f t="shared" si="52"/>
        <v>0</v>
      </c>
      <c r="DN17" s="8">
        <f t="shared" si="53"/>
        <v>0</v>
      </c>
      <c r="DO17" s="177"/>
      <c r="DP17" s="141"/>
      <c r="DQ17" s="141"/>
      <c r="DR17" s="141"/>
      <c r="DS17" s="141"/>
      <c r="DT17" s="141"/>
      <c r="DU17" s="141" t="s">
        <v>417</v>
      </c>
      <c r="DV17" s="141"/>
      <c r="DW17" s="141"/>
      <c r="DX17" s="141"/>
      <c r="DY17" s="141"/>
      <c r="DZ17" s="141"/>
      <c r="EA17" s="141"/>
      <c r="EB17" s="141"/>
      <c r="EC17" s="141"/>
      <c r="ED17" s="141" t="s">
        <v>417</v>
      </c>
      <c r="EE17" s="141"/>
      <c r="EF17" s="141"/>
      <c r="EG17" s="141"/>
      <c r="EH17" s="141"/>
      <c r="EI17" s="141"/>
      <c r="EJ17" s="142" t="s">
        <v>417</v>
      </c>
      <c r="EK17" s="180"/>
    </row>
    <row r="18" spans="2:141" x14ac:dyDescent="0.25">
      <c r="B18" s="69"/>
      <c r="C18" s="32" t="s">
        <v>63</v>
      </c>
      <c r="D18" s="35"/>
      <c r="E18" s="35"/>
      <c r="F18" s="52"/>
      <c r="G18" s="33"/>
      <c r="H18" s="33"/>
      <c r="I18" s="33"/>
      <c r="J18" s="33"/>
      <c r="K18" s="33"/>
      <c r="L18" s="33"/>
      <c r="M18" s="33"/>
      <c r="N18" s="33"/>
      <c r="O18" s="51"/>
      <c r="P18" s="174"/>
      <c r="Q18" s="174"/>
      <c r="R18" s="174"/>
      <c r="S18" s="174"/>
      <c r="T18" s="174"/>
      <c r="U18" s="166"/>
      <c r="V18" s="166"/>
      <c r="W18" s="166"/>
      <c r="X18" s="166"/>
      <c r="Y18" s="166"/>
      <c r="Z18" s="166"/>
      <c r="AA18" s="166"/>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5"/>
      <c r="BO18" s="27" t="str">
        <f t="shared" si="2"/>
        <v/>
      </c>
      <c r="BP18" s="8" t="str">
        <f t="shared" si="3"/>
        <v/>
      </c>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169"/>
      <c r="DP18" s="35"/>
      <c r="DQ18" s="35"/>
      <c r="DR18" s="35"/>
      <c r="DS18" s="35"/>
      <c r="DT18" s="35"/>
      <c r="DU18" s="35"/>
      <c r="DV18" s="35"/>
      <c r="DW18" s="35"/>
      <c r="DX18" s="35"/>
      <c r="DY18" s="35"/>
      <c r="DZ18" s="35"/>
      <c r="EA18" s="35"/>
      <c r="EB18" s="35"/>
      <c r="EC18" s="35"/>
      <c r="ED18" s="35"/>
      <c r="EE18" s="35"/>
      <c r="EF18" s="35"/>
      <c r="EG18" s="35"/>
      <c r="EH18" s="35"/>
      <c r="EI18" s="35"/>
      <c r="EJ18" s="35"/>
      <c r="EK18" s="181"/>
    </row>
    <row r="19" spans="2:141" x14ac:dyDescent="0.25">
      <c r="B19" s="69" t="str">
        <f>IF(Profession="","",IF(HLOOKUP(Profession,Skills!$DO$3:$EK$126,ROW(D19)-2,FALSE)="","",HLOOKUP(Profession,Skills!$DO$3:$EK$126,ROW(D19)-2,FALSE)))</f>
        <v>x</v>
      </c>
      <c r="C19" s="32"/>
      <c r="D19" s="35" t="s">
        <v>71</v>
      </c>
      <c r="E19" s="35" t="str">
        <f t="shared" ref="E19:E27" si="57">D19</f>
        <v>Body Development*</v>
      </c>
      <c r="F19" s="52"/>
      <c r="G19" s="33">
        <f ca="1">IF(OR(I19+J19+K19+L19&lt;=0),0,I19+J19+K19+L19)</f>
        <v>0</v>
      </c>
      <c r="H19" s="33">
        <f ca="1">SUM(O19:(OFFSET(O19,0,Level)))</f>
        <v>0</v>
      </c>
      <c r="I19" s="33">
        <f t="shared" ref="I19:I27" ca="1" si="58">IF(Level=0,"",VLOOKUP(H19,RankBonus,2,FALSE))</f>
        <v>-25</v>
      </c>
      <c r="J19" s="33">
        <f t="shared" si="7"/>
        <v>0</v>
      </c>
      <c r="K19" s="33">
        <f t="shared" ref="K19:K27" ca="1" si="59">IF(Profession="",0,IF(Profession="No Profession",IF(B19="x",H19,0),(VLOOKUP(D19,PBSkills,MATCH(Profession,Professions,0)+2,FALSE)*H19)))</f>
        <v>0</v>
      </c>
      <c r="L19" s="168"/>
      <c r="M19" s="33" t="str">
        <f t="shared" si="9"/>
        <v>Co/Co/SD</v>
      </c>
      <c r="N19" s="146" t="str">
        <f>IF(OR(D19="", Profession=""),"",VLOOKUP(D19,DPCosts,MATCH(Profession,Professions,0)+2,FALSE))</f>
        <v>1/3</v>
      </c>
      <c r="O19" s="131" t="str">
        <f>IF(OR(D19="",Culture=""),"",VLOOKUP("Body Development",CultureRanks,MATCH(Culture,CultureList,0)+1,FALSE))</f>
        <v/>
      </c>
      <c r="P19" s="168"/>
      <c r="Q19" s="168"/>
      <c r="R19" s="168"/>
      <c r="S19" s="168"/>
      <c r="T19" s="168"/>
      <c r="U19" s="164"/>
      <c r="V19" s="164"/>
      <c r="W19" s="164"/>
      <c r="X19" s="164"/>
      <c r="Y19" s="164"/>
      <c r="Z19" s="164"/>
      <c r="AA19" s="164"/>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73"/>
      <c r="BO19" s="27" t="str">
        <f t="shared" si="2"/>
        <v>1</v>
      </c>
      <c r="BP19" s="8" t="str">
        <f t="shared" si="3"/>
        <v>3</v>
      </c>
      <c r="BQ19" s="8">
        <f t="shared" si="10"/>
        <v>0</v>
      </c>
      <c r="BR19" s="8">
        <f t="shared" si="11"/>
        <v>0</v>
      </c>
      <c r="BS19" s="8">
        <f t="shared" si="12"/>
        <v>0</v>
      </c>
      <c r="BT19" s="8">
        <f t="shared" si="13"/>
        <v>0</v>
      </c>
      <c r="BU19" s="8">
        <f t="shared" si="14"/>
        <v>0</v>
      </c>
      <c r="BV19" s="8">
        <f t="shared" si="15"/>
        <v>0</v>
      </c>
      <c r="BW19" s="8">
        <f t="shared" si="16"/>
        <v>0</v>
      </c>
      <c r="BX19" s="8">
        <f t="shared" si="17"/>
        <v>0</v>
      </c>
      <c r="BY19" s="8">
        <f t="shared" si="18"/>
        <v>0</v>
      </c>
      <c r="BZ19" s="8">
        <f t="shared" si="19"/>
        <v>0</v>
      </c>
      <c r="CA19" s="8">
        <f t="shared" si="20"/>
        <v>0</v>
      </c>
      <c r="CB19" s="8">
        <f t="shared" si="21"/>
        <v>0</v>
      </c>
      <c r="CC19" s="8">
        <f t="shared" si="22"/>
        <v>0</v>
      </c>
      <c r="CD19" s="8">
        <f t="shared" si="23"/>
        <v>0</v>
      </c>
      <c r="CE19" s="8">
        <f t="shared" si="24"/>
        <v>0</v>
      </c>
      <c r="CF19" s="8">
        <f t="shared" si="25"/>
        <v>0</v>
      </c>
      <c r="CG19" s="8">
        <f t="shared" si="26"/>
        <v>0</v>
      </c>
      <c r="CH19" s="8">
        <f t="shared" si="27"/>
        <v>0</v>
      </c>
      <c r="CI19" s="8">
        <f t="shared" si="28"/>
        <v>0</v>
      </c>
      <c r="CJ19" s="8">
        <f t="shared" si="29"/>
        <v>0</v>
      </c>
      <c r="CK19" s="8">
        <f t="shared" si="29"/>
        <v>0</v>
      </c>
      <c r="CL19" s="8">
        <f t="shared" si="29"/>
        <v>0</v>
      </c>
      <c r="CM19" s="8">
        <f t="shared" si="29"/>
        <v>0</v>
      </c>
      <c r="CN19" s="8">
        <f t="shared" si="29"/>
        <v>0</v>
      </c>
      <c r="CO19" s="8">
        <f t="shared" si="29"/>
        <v>0</v>
      </c>
      <c r="CP19" s="8">
        <f t="shared" si="29"/>
        <v>0</v>
      </c>
      <c r="CQ19" s="8">
        <f t="shared" si="30"/>
        <v>0</v>
      </c>
      <c r="CR19" s="8">
        <f t="shared" si="31"/>
        <v>0</v>
      </c>
      <c r="CS19" s="8">
        <f t="shared" si="32"/>
        <v>0</v>
      </c>
      <c r="CT19" s="8">
        <f t="shared" si="33"/>
        <v>0</v>
      </c>
      <c r="CU19" s="8">
        <f t="shared" si="34"/>
        <v>0</v>
      </c>
      <c r="CV19" s="8">
        <f t="shared" si="35"/>
        <v>0</v>
      </c>
      <c r="CW19" s="8">
        <f t="shared" si="36"/>
        <v>0</v>
      </c>
      <c r="CX19" s="8">
        <f t="shared" si="37"/>
        <v>0</v>
      </c>
      <c r="CY19" s="8">
        <f t="shared" si="38"/>
        <v>0</v>
      </c>
      <c r="CZ19" s="8">
        <f t="shared" si="39"/>
        <v>0</v>
      </c>
      <c r="DA19" s="8">
        <f t="shared" si="40"/>
        <v>0</v>
      </c>
      <c r="DB19" s="8">
        <f t="shared" si="41"/>
        <v>0</v>
      </c>
      <c r="DC19" s="8">
        <f t="shared" si="42"/>
        <v>0</v>
      </c>
      <c r="DD19" s="8">
        <f t="shared" si="43"/>
        <v>0</v>
      </c>
      <c r="DE19" s="8">
        <f t="shared" si="44"/>
        <v>0</v>
      </c>
      <c r="DF19" s="8">
        <f t="shared" si="45"/>
        <v>0</v>
      </c>
      <c r="DG19" s="8">
        <f t="shared" si="46"/>
        <v>0</v>
      </c>
      <c r="DH19" s="8">
        <f t="shared" si="47"/>
        <v>0</v>
      </c>
      <c r="DI19" s="8">
        <f t="shared" si="48"/>
        <v>0</v>
      </c>
      <c r="DJ19" s="8">
        <f t="shared" si="49"/>
        <v>0</v>
      </c>
      <c r="DK19" s="8">
        <f t="shared" si="50"/>
        <v>0</v>
      </c>
      <c r="DL19" s="8">
        <f t="shared" si="51"/>
        <v>0</v>
      </c>
      <c r="DM19" s="8">
        <f t="shared" si="52"/>
        <v>0</v>
      </c>
      <c r="DN19" s="8">
        <f t="shared" si="53"/>
        <v>0</v>
      </c>
      <c r="DO19" s="177"/>
      <c r="DP19" s="141" t="s">
        <v>417</v>
      </c>
      <c r="DQ19" s="141" t="s">
        <v>417</v>
      </c>
      <c r="DR19" s="141"/>
      <c r="DS19" s="141" t="s">
        <v>417</v>
      </c>
      <c r="DT19" s="141" t="s">
        <v>417</v>
      </c>
      <c r="DU19" s="141"/>
      <c r="DV19" s="141" t="s">
        <v>417</v>
      </c>
      <c r="DW19" s="141" t="s">
        <v>417</v>
      </c>
      <c r="DX19" s="141" t="s">
        <v>417</v>
      </c>
      <c r="DY19" s="141"/>
      <c r="DZ19" s="141"/>
      <c r="EA19" s="141"/>
      <c r="EB19" s="141"/>
      <c r="EC19" s="141"/>
      <c r="ED19" s="141"/>
      <c r="EE19" s="141"/>
      <c r="EF19" s="141"/>
      <c r="EG19" s="141"/>
      <c r="EH19" s="141" t="s">
        <v>417</v>
      </c>
      <c r="EI19" s="141"/>
      <c r="EJ19" s="142"/>
      <c r="EK19" s="180"/>
    </row>
    <row r="20" spans="2:141" x14ac:dyDescent="0.25">
      <c r="B20" s="69" t="str">
        <f>IF(Profession="","",IF(HLOOKUP(Profession,Skills!$DO$3:$EK$126,ROW(D20)-2,FALSE)="","",HLOOKUP(Profession,Skills!$DO$3:$EK$126,ROW(D20)-2,FALSE)))</f>
        <v/>
      </c>
      <c r="C20" s="32"/>
      <c r="D20" s="35" t="s">
        <v>72</v>
      </c>
      <c r="E20" s="35" t="str">
        <f t="shared" si="57"/>
        <v>Gymnastic</v>
      </c>
      <c r="F20" s="164" t="s">
        <v>250</v>
      </c>
      <c r="G20" s="33">
        <f t="shared" ca="1" si="5"/>
        <v>-25</v>
      </c>
      <c r="H20" s="33">
        <f ca="1">SUM(O20:(OFFSET(O20,0,Level)))</f>
        <v>0</v>
      </c>
      <c r="I20" s="33">
        <f t="shared" ca="1" si="58"/>
        <v>-25</v>
      </c>
      <c r="J20" s="33">
        <f t="shared" si="7"/>
        <v>0</v>
      </c>
      <c r="K20" s="33">
        <f t="shared" ca="1" si="59"/>
        <v>0</v>
      </c>
      <c r="L20" s="168"/>
      <c r="M20" s="33" t="str">
        <f t="shared" si="9"/>
        <v>Ag/Qu/St</v>
      </c>
      <c r="N20" s="33" t="str">
        <f>IF(OR(D20="", Profession=""),"",VLOOKUP(D20,DPCosts,MATCH(Profession,Professions,0)+2,FALSE))</f>
        <v>2/4</v>
      </c>
      <c r="O20" s="131"/>
      <c r="P20" s="168"/>
      <c r="Q20" s="168"/>
      <c r="R20" s="168"/>
      <c r="S20" s="168"/>
      <c r="T20" s="168"/>
      <c r="U20" s="164"/>
      <c r="V20" s="164"/>
      <c r="W20" s="164"/>
      <c r="X20" s="164"/>
      <c r="Y20" s="164"/>
      <c r="Z20" s="164"/>
      <c r="AA20" s="164"/>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73"/>
      <c r="BO20" s="27" t="str">
        <f t="shared" si="2"/>
        <v>2</v>
      </c>
      <c r="BP20" s="8" t="str">
        <f t="shared" si="3"/>
        <v>4</v>
      </c>
      <c r="BQ20" s="8">
        <f t="shared" si="10"/>
        <v>0</v>
      </c>
      <c r="BR20" s="8">
        <f t="shared" si="11"/>
        <v>0</v>
      </c>
      <c r="BS20" s="8">
        <f t="shared" si="12"/>
        <v>0</v>
      </c>
      <c r="BT20" s="8">
        <f t="shared" si="13"/>
        <v>0</v>
      </c>
      <c r="BU20" s="8">
        <f t="shared" si="14"/>
        <v>0</v>
      </c>
      <c r="BV20" s="8">
        <f t="shared" si="15"/>
        <v>0</v>
      </c>
      <c r="BW20" s="8">
        <f t="shared" si="16"/>
        <v>0</v>
      </c>
      <c r="BX20" s="8">
        <f t="shared" si="17"/>
        <v>0</v>
      </c>
      <c r="BY20" s="8">
        <f t="shared" si="18"/>
        <v>0</v>
      </c>
      <c r="BZ20" s="8">
        <f t="shared" si="19"/>
        <v>0</v>
      </c>
      <c r="CA20" s="8">
        <f t="shared" si="20"/>
        <v>0</v>
      </c>
      <c r="CB20" s="8">
        <f t="shared" si="21"/>
        <v>0</v>
      </c>
      <c r="CC20" s="8">
        <f t="shared" si="22"/>
        <v>0</v>
      </c>
      <c r="CD20" s="8">
        <f t="shared" si="23"/>
        <v>0</v>
      </c>
      <c r="CE20" s="8">
        <f t="shared" si="24"/>
        <v>0</v>
      </c>
      <c r="CF20" s="8">
        <f t="shared" si="25"/>
        <v>0</v>
      </c>
      <c r="CG20" s="8">
        <f t="shared" si="26"/>
        <v>0</v>
      </c>
      <c r="CH20" s="8">
        <f t="shared" si="27"/>
        <v>0</v>
      </c>
      <c r="CI20" s="8">
        <f t="shared" si="28"/>
        <v>0</v>
      </c>
      <c r="CJ20" s="8">
        <f t="shared" si="29"/>
        <v>0</v>
      </c>
      <c r="CK20" s="8">
        <f t="shared" si="29"/>
        <v>0</v>
      </c>
      <c r="CL20" s="8">
        <f t="shared" si="29"/>
        <v>0</v>
      </c>
      <c r="CM20" s="8">
        <f t="shared" si="29"/>
        <v>0</v>
      </c>
      <c r="CN20" s="8">
        <f t="shared" si="29"/>
        <v>0</v>
      </c>
      <c r="CO20" s="8">
        <f t="shared" si="29"/>
        <v>0</v>
      </c>
      <c r="CP20" s="8">
        <f t="shared" si="29"/>
        <v>0</v>
      </c>
      <c r="CQ20" s="8">
        <f t="shared" si="30"/>
        <v>0</v>
      </c>
      <c r="CR20" s="8">
        <f t="shared" si="31"/>
        <v>0</v>
      </c>
      <c r="CS20" s="8">
        <f t="shared" si="32"/>
        <v>0</v>
      </c>
      <c r="CT20" s="8">
        <f t="shared" si="33"/>
        <v>0</v>
      </c>
      <c r="CU20" s="8">
        <f t="shared" si="34"/>
        <v>0</v>
      </c>
      <c r="CV20" s="8">
        <f t="shared" si="35"/>
        <v>0</v>
      </c>
      <c r="CW20" s="8">
        <f t="shared" si="36"/>
        <v>0</v>
      </c>
      <c r="CX20" s="8">
        <f t="shared" si="37"/>
        <v>0</v>
      </c>
      <c r="CY20" s="8">
        <f t="shared" si="38"/>
        <v>0</v>
      </c>
      <c r="CZ20" s="8">
        <f t="shared" si="39"/>
        <v>0</v>
      </c>
      <c r="DA20" s="8">
        <f t="shared" si="40"/>
        <v>0</v>
      </c>
      <c r="DB20" s="8">
        <f t="shared" si="41"/>
        <v>0</v>
      </c>
      <c r="DC20" s="8">
        <f t="shared" si="42"/>
        <v>0</v>
      </c>
      <c r="DD20" s="8">
        <f t="shared" si="43"/>
        <v>0</v>
      </c>
      <c r="DE20" s="8">
        <f t="shared" si="44"/>
        <v>0</v>
      </c>
      <c r="DF20" s="8">
        <f t="shared" si="45"/>
        <v>0</v>
      </c>
      <c r="DG20" s="8">
        <f t="shared" si="46"/>
        <v>0</v>
      </c>
      <c r="DH20" s="8">
        <f t="shared" si="47"/>
        <v>0</v>
      </c>
      <c r="DI20" s="8">
        <f t="shared" si="48"/>
        <v>0</v>
      </c>
      <c r="DJ20" s="8">
        <f t="shared" si="49"/>
        <v>0</v>
      </c>
      <c r="DK20" s="8">
        <f t="shared" si="50"/>
        <v>0</v>
      </c>
      <c r="DL20" s="8">
        <f t="shared" si="51"/>
        <v>0</v>
      </c>
      <c r="DM20" s="8">
        <f t="shared" si="52"/>
        <v>0</v>
      </c>
      <c r="DN20" s="8">
        <f t="shared" si="53"/>
        <v>0</v>
      </c>
      <c r="DO20" s="177"/>
      <c r="DP20" s="141"/>
      <c r="DQ20" s="141" t="s">
        <v>417</v>
      </c>
      <c r="DR20" s="141" t="s">
        <v>417</v>
      </c>
      <c r="DS20" s="141" t="s">
        <v>417</v>
      </c>
      <c r="DT20" s="141"/>
      <c r="DU20" s="141"/>
      <c r="DV20" s="141"/>
      <c r="DW20" s="141"/>
      <c r="DX20" s="141" t="s">
        <v>417</v>
      </c>
      <c r="DY20" s="141" t="s">
        <v>417</v>
      </c>
      <c r="DZ20" s="141"/>
      <c r="EA20" s="141" t="s">
        <v>417</v>
      </c>
      <c r="EB20" s="141"/>
      <c r="EC20" s="141"/>
      <c r="ED20" s="141"/>
      <c r="EE20" s="141"/>
      <c r="EF20" s="141"/>
      <c r="EG20" s="141"/>
      <c r="EH20" s="141"/>
      <c r="EI20" s="141"/>
      <c r="EJ20" s="142"/>
      <c r="EK20" s="180"/>
    </row>
    <row r="21" spans="2:141" x14ac:dyDescent="0.25">
      <c r="B21" s="69" t="str">
        <f>IF(Profession="","",IF(HLOOKUP(Profession,Skills!$DO$3:$EK$126,ROW(D21)-2,FALSE)="","",HLOOKUP(Profession,Skills!$DO$3:$EK$126,ROW(D21)-2,FALSE)))</f>
        <v/>
      </c>
      <c r="C21" s="32"/>
      <c r="D21" s="35" t="s">
        <v>72</v>
      </c>
      <c r="E21" s="35" t="str">
        <f t="shared" si="57"/>
        <v>Gymnastic</v>
      </c>
      <c r="F21" s="164" t="s">
        <v>251</v>
      </c>
      <c r="G21" s="33">
        <f t="shared" ca="1" si="5"/>
        <v>-25</v>
      </c>
      <c r="H21" s="33">
        <f ca="1">SUM(O21:(OFFSET(O21,0,Level)))</f>
        <v>0</v>
      </c>
      <c r="I21" s="33">
        <f t="shared" ca="1" si="58"/>
        <v>-25</v>
      </c>
      <c r="J21" s="33">
        <f t="shared" si="7"/>
        <v>0</v>
      </c>
      <c r="K21" s="33">
        <f t="shared" ca="1" si="59"/>
        <v>0</v>
      </c>
      <c r="L21" s="168"/>
      <c r="M21" s="33" t="str">
        <f t="shared" si="9"/>
        <v>Ag/Qu/St</v>
      </c>
      <c r="N21" s="33" t="str">
        <f t="shared" si="54"/>
        <v>2/4</v>
      </c>
      <c r="O21" s="131"/>
      <c r="P21" s="168"/>
      <c r="Q21" s="168"/>
      <c r="R21" s="168"/>
      <c r="S21" s="168"/>
      <c r="T21" s="168"/>
      <c r="U21" s="164"/>
      <c r="V21" s="164"/>
      <c r="W21" s="164"/>
      <c r="X21" s="164"/>
      <c r="Y21" s="164"/>
      <c r="Z21" s="164"/>
      <c r="AA21" s="164"/>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8"/>
      <c r="BF21" s="168"/>
      <c r="BG21" s="168"/>
      <c r="BH21" s="168"/>
      <c r="BI21" s="168"/>
      <c r="BJ21" s="168"/>
      <c r="BK21" s="168"/>
      <c r="BL21" s="168"/>
      <c r="BM21" s="173"/>
      <c r="BO21" s="27" t="str">
        <f t="shared" si="2"/>
        <v>2</v>
      </c>
      <c r="BP21" s="8" t="str">
        <f t="shared" si="3"/>
        <v>4</v>
      </c>
      <c r="BQ21" s="8">
        <f t="shared" si="10"/>
        <v>0</v>
      </c>
      <c r="BR21" s="8">
        <f t="shared" si="11"/>
        <v>0</v>
      </c>
      <c r="BS21" s="8">
        <f t="shared" si="12"/>
        <v>0</v>
      </c>
      <c r="BT21" s="8">
        <f t="shared" si="13"/>
        <v>0</v>
      </c>
      <c r="BU21" s="8">
        <f t="shared" si="14"/>
        <v>0</v>
      </c>
      <c r="BV21" s="8">
        <f t="shared" si="15"/>
        <v>0</v>
      </c>
      <c r="BW21" s="8">
        <f t="shared" si="16"/>
        <v>0</v>
      </c>
      <c r="BX21" s="8">
        <f t="shared" si="17"/>
        <v>0</v>
      </c>
      <c r="BY21" s="8">
        <f t="shared" si="18"/>
        <v>0</v>
      </c>
      <c r="BZ21" s="8">
        <f t="shared" si="19"/>
        <v>0</v>
      </c>
      <c r="CA21" s="8">
        <f t="shared" si="20"/>
        <v>0</v>
      </c>
      <c r="CB21" s="8">
        <f t="shared" si="21"/>
        <v>0</v>
      </c>
      <c r="CC21" s="8">
        <f t="shared" si="22"/>
        <v>0</v>
      </c>
      <c r="CD21" s="8">
        <f t="shared" si="23"/>
        <v>0</v>
      </c>
      <c r="CE21" s="8">
        <f t="shared" si="24"/>
        <v>0</v>
      </c>
      <c r="CF21" s="8">
        <f t="shared" si="25"/>
        <v>0</v>
      </c>
      <c r="CG21" s="8">
        <f t="shared" si="26"/>
        <v>0</v>
      </c>
      <c r="CH21" s="8">
        <f t="shared" si="27"/>
        <v>0</v>
      </c>
      <c r="CI21" s="8">
        <f t="shared" si="28"/>
        <v>0</v>
      </c>
      <c r="CJ21" s="8">
        <f t="shared" si="29"/>
        <v>0</v>
      </c>
      <c r="CK21" s="8">
        <f t="shared" si="29"/>
        <v>0</v>
      </c>
      <c r="CL21" s="8">
        <f t="shared" si="29"/>
        <v>0</v>
      </c>
      <c r="CM21" s="8">
        <f t="shared" si="29"/>
        <v>0</v>
      </c>
      <c r="CN21" s="8">
        <f t="shared" si="29"/>
        <v>0</v>
      </c>
      <c r="CO21" s="8">
        <f t="shared" si="29"/>
        <v>0</v>
      </c>
      <c r="CP21" s="8">
        <f t="shared" si="29"/>
        <v>0</v>
      </c>
      <c r="CQ21" s="8">
        <f t="shared" si="30"/>
        <v>0</v>
      </c>
      <c r="CR21" s="8">
        <f t="shared" si="31"/>
        <v>0</v>
      </c>
      <c r="CS21" s="8">
        <f t="shared" si="32"/>
        <v>0</v>
      </c>
      <c r="CT21" s="8">
        <f t="shared" si="33"/>
        <v>0</v>
      </c>
      <c r="CU21" s="8">
        <f t="shared" si="34"/>
        <v>0</v>
      </c>
      <c r="CV21" s="8">
        <f t="shared" si="35"/>
        <v>0</v>
      </c>
      <c r="CW21" s="8">
        <f t="shared" si="36"/>
        <v>0</v>
      </c>
      <c r="CX21" s="8">
        <f t="shared" si="37"/>
        <v>0</v>
      </c>
      <c r="CY21" s="8">
        <f t="shared" si="38"/>
        <v>0</v>
      </c>
      <c r="CZ21" s="8">
        <f t="shared" si="39"/>
        <v>0</v>
      </c>
      <c r="DA21" s="8">
        <f t="shared" si="40"/>
        <v>0</v>
      </c>
      <c r="DB21" s="8">
        <f t="shared" si="41"/>
        <v>0</v>
      </c>
      <c r="DC21" s="8">
        <f t="shared" si="42"/>
        <v>0</v>
      </c>
      <c r="DD21" s="8">
        <f t="shared" si="43"/>
        <v>0</v>
      </c>
      <c r="DE21" s="8">
        <f t="shared" si="44"/>
        <v>0</v>
      </c>
      <c r="DF21" s="8">
        <f t="shared" si="45"/>
        <v>0</v>
      </c>
      <c r="DG21" s="8">
        <f t="shared" si="46"/>
        <v>0</v>
      </c>
      <c r="DH21" s="8">
        <f t="shared" si="47"/>
        <v>0</v>
      </c>
      <c r="DI21" s="8">
        <f t="shared" si="48"/>
        <v>0</v>
      </c>
      <c r="DJ21" s="8">
        <f t="shared" si="49"/>
        <v>0</v>
      </c>
      <c r="DK21" s="8">
        <f t="shared" si="50"/>
        <v>0</v>
      </c>
      <c r="DL21" s="8">
        <f t="shared" si="51"/>
        <v>0</v>
      </c>
      <c r="DM21" s="8">
        <f t="shared" si="52"/>
        <v>0</v>
      </c>
      <c r="DN21" s="8">
        <f t="shared" si="53"/>
        <v>0</v>
      </c>
      <c r="DO21" s="177"/>
      <c r="DP21" s="141"/>
      <c r="DQ21" s="141" t="s">
        <v>417</v>
      </c>
      <c r="DR21" s="141" t="s">
        <v>417</v>
      </c>
      <c r="DS21" s="141" t="s">
        <v>417</v>
      </c>
      <c r="DT21" s="141"/>
      <c r="DU21" s="141"/>
      <c r="DV21" s="141"/>
      <c r="DW21" s="141"/>
      <c r="DX21" s="141" t="s">
        <v>417</v>
      </c>
      <c r="DY21" s="141" t="s">
        <v>417</v>
      </c>
      <c r="DZ21" s="141"/>
      <c r="EA21" s="141" t="s">
        <v>417</v>
      </c>
      <c r="EB21" s="141"/>
      <c r="EC21" s="141"/>
      <c r="ED21" s="141"/>
      <c r="EE21" s="141"/>
      <c r="EF21" s="141"/>
      <c r="EG21" s="141"/>
      <c r="EH21" s="141"/>
      <c r="EI21" s="141"/>
      <c r="EJ21" s="142"/>
      <c r="EK21" s="180"/>
    </row>
    <row r="22" spans="2:141" x14ac:dyDescent="0.25">
      <c r="B22" s="69" t="str">
        <f>IF(Profession="","",IF(HLOOKUP(Profession,Skills!$DO$3:$EK$126,ROW(D22)-2,FALSE)="","",HLOOKUP(Profession,Skills!$DO$3:$EK$126,ROW(D22)-2,FALSE)))</f>
        <v/>
      </c>
      <c r="C22" s="32"/>
      <c r="D22" s="35" t="s">
        <v>72</v>
      </c>
      <c r="E22" s="35" t="str">
        <f t="shared" si="57"/>
        <v>Gymnastic</v>
      </c>
      <c r="F22" s="164"/>
      <c r="G22" s="33">
        <f ca="1">SUM(I22:L22)</f>
        <v>-25</v>
      </c>
      <c r="H22" s="33">
        <f ca="1">SUM(O22:(OFFSET(O22,0,Level)))</f>
        <v>0</v>
      </c>
      <c r="I22" s="33">
        <f ca="1">IF(Level=0,"",VLOOKUP(H22,RankBonus,2,FALSE))</f>
        <v>-25</v>
      </c>
      <c r="J22" s="33">
        <f>IF(OR(M22="",M22="-"),0,VLOOKUP(MID(M22,1,2),StatBonuses,2,FALSE)+VLOOKUP(MID(M22,4,2),StatBonuses,2,FALSE)+VLOOKUP(MID(M22,7,2),StatBonuses,2,FALSE))</f>
        <v>0</v>
      </c>
      <c r="K22" s="33">
        <f t="shared" ca="1" si="59"/>
        <v>0</v>
      </c>
      <c r="L22" s="168"/>
      <c r="M22" s="33" t="str">
        <f>IF(D22="","",VLOOKUP(D22,DPCosts,2,FALSE))</f>
        <v>Ag/Qu/St</v>
      </c>
      <c r="N22" s="33" t="str">
        <f>IF(OR(D22="", Profession=""),"",VLOOKUP(D22,DPCosts,MATCH(Profession,Professions,0)+2,FALSE))</f>
        <v>2/4</v>
      </c>
      <c r="O22" s="131"/>
      <c r="P22" s="168"/>
      <c r="Q22" s="168"/>
      <c r="R22" s="168"/>
      <c r="S22" s="168"/>
      <c r="T22" s="168"/>
      <c r="U22" s="164"/>
      <c r="V22" s="164"/>
      <c r="W22" s="164"/>
      <c r="X22" s="164"/>
      <c r="Y22" s="164"/>
      <c r="Z22" s="164"/>
      <c r="AA22" s="164"/>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8"/>
      <c r="BK22" s="168"/>
      <c r="BL22" s="168"/>
      <c r="BM22" s="173"/>
      <c r="BO22" s="27" t="str">
        <f t="shared" si="2"/>
        <v>2</v>
      </c>
      <c r="BP22" s="8" t="str">
        <f t="shared" si="3"/>
        <v>4</v>
      </c>
      <c r="BQ22" s="8">
        <f t="shared" si="10"/>
        <v>0</v>
      </c>
      <c r="BR22" s="8">
        <f t="shared" si="11"/>
        <v>0</v>
      </c>
      <c r="BS22" s="8">
        <f t="shared" si="12"/>
        <v>0</v>
      </c>
      <c r="BT22" s="8">
        <f t="shared" si="13"/>
        <v>0</v>
      </c>
      <c r="BU22" s="8">
        <f t="shared" si="14"/>
        <v>0</v>
      </c>
      <c r="BV22" s="8">
        <f t="shared" si="15"/>
        <v>0</v>
      </c>
      <c r="BW22" s="8">
        <f t="shared" si="16"/>
        <v>0</v>
      </c>
      <c r="BX22" s="8">
        <f t="shared" si="17"/>
        <v>0</v>
      </c>
      <c r="BY22" s="8">
        <f t="shared" si="18"/>
        <v>0</v>
      </c>
      <c r="BZ22" s="8">
        <f t="shared" si="19"/>
        <v>0</v>
      </c>
      <c r="CA22" s="8">
        <f t="shared" si="20"/>
        <v>0</v>
      </c>
      <c r="CB22" s="8">
        <f t="shared" si="21"/>
        <v>0</v>
      </c>
      <c r="CC22" s="8">
        <f t="shared" si="22"/>
        <v>0</v>
      </c>
      <c r="CD22" s="8">
        <f t="shared" si="23"/>
        <v>0</v>
      </c>
      <c r="CE22" s="8">
        <f t="shared" si="24"/>
        <v>0</v>
      </c>
      <c r="CF22" s="8">
        <f t="shared" si="25"/>
        <v>0</v>
      </c>
      <c r="CG22" s="8">
        <f t="shared" si="26"/>
        <v>0</v>
      </c>
      <c r="CH22" s="8">
        <f t="shared" si="27"/>
        <v>0</v>
      </c>
      <c r="CI22" s="8">
        <f t="shared" si="28"/>
        <v>0</v>
      </c>
      <c r="CJ22" s="8">
        <f t="shared" ref="CJ22:DN22" si="60">IF(AI22=0,0,IF(AI22=1,INT($BO22),$BO22+$BP22*(AI22-1)))</f>
        <v>0</v>
      </c>
      <c r="CK22" s="8">
        <f t="shared" si="60"/>
        <v>0</v>
      </c>
      <c r="CL22" s="8">
        <f t="shared" si="60"/>
        <v>0</v>
      </c>
      <c r="CM22" s="8">
        <f t="shared" si="60"/>
        <v>0</v>
      </c>
      <c r="CN22" s="8">
        <f t="shared" si="60"/>
        <v>0</v>
      </c>
      <c r="CO22" s="8">
        <f t="shared" si="60"/>
        <v>0</v>
      </c>
      <c r="CP22" s="8">
        <f t="shared" si="60"/>
        <v>0</v>
      </c>
      <c r="CQ22" s="8">
        <f t="shared" si="60"/>
        <v>0</v>
      </c>
      <c r="CR22" s="8">
        <f t="shared" si="60"/>
        <v>0</v>
      </c>
      <c r="CS22" s="8">
        <f t="shared" si="60"/>
        <v>0</v>
      </c>
      <c r="CT22" s="8">
        <f t="shared" si="60"/>
        <v>0</v>
      </c>
      <c r="CU22" s="8">
        <f t="shared" si="60"/>
        <v>0</v>
      </c>
      <c r="CV22" s="8">
        <f t="shared" si="60"/>
        <v>0</v>
      </c>
      <c r="CW22" s="8">
        <f t="shared" si="60"/>
        <v>0</v>
      </c>
      <c r="CX22" s="8">
        <f t="shared" si="60"/>
        <v>0</v>
      </c>
      <c r="CY22" s="8">
        <f t="shared" si="60"/>
        <v>0</v>
      </c>
      <c r="CZ22" s="8">
        <f t="shared" si="60"/>
        <v>0</v>
      </c>
      <c r="DA22" s="8">
        <f t="shared" si="60"/>
        <v>0</v>
      </c>
      <c r="DB22" s="8">
        <f t="shared" si="60"/>
        <v>0</v>
      </c>
      <c r="DC22" s="8">
        <f t="shared" si="60"/>
        <v>0</v>
      </c>
      <c r="DD22" s="8">
        <f t="shared" si="60"/>
        <v>0</v>
      </c>
      <c r="DE22" s="8">
        <f t="shared" si="60"/>
        <v>0</v>
      </c>
      <c r="DF22" s="8">
        <f t="shared" si="60"/>
        <v>0</v>
      </c>
      <c r="DG22" s="8">
        <f t="shared" si="60"/>
        <v>0</v>
      </c>
      <c r="DH22" s="8">
        <f t="shared" si="60"/>
        <v>0</v>
      </c>
      <c r="DI22" s="8">
        <f t="shared" si="60"/>
        <v>0</v>
      </c>
      <c r="DJ22" s="8">
        <f t="shared" si="60"/>
        <v>0</v>
      </c>
      <c r="DK22" s="8">
        <f t="shared" si="60"/>
        <v>0</v>
      </c>
      <c r="DL22" s="8">
        <f t="shared" si="60"/>
        <v>0</v>
      </c>
      <c r="DM22" s="8">
        <f t="shared" si="60"/>
        <v>0</v>
      </c>
      <c r="DN22" s="8">
        <f t="shared" si="60"/>
        <v>0</v>
      </c>
      <c r="DO22" s="177"/>
      <c r="DP22" s="141"/>
      <c r="DQ22" s="141" t="s">
        <v>417</v>
      </c>
      <c r="DR22" s="141" t="s">
        <v>417</v>
      </c>
      <c r="DS22" s="141" t="s">
        <v>417</v>
      </c>
      <c r="DT22" s="141"/>
      <c r="DU22" s="141"/>
      <c r="DV22" s="141"/>
      <c r="DW22" s="141"/>
      <c r="DX22" s="141" t="s">
        <v>417</v>
      </c>
      <c r="DY22" s="141" t="s">
        <v>417</v>
      </c>
      <c r="DZ22" s="141"/>
      <c r="EA22" s="141" t="s">
        <v>417</v>
      </c>
      <c r="EB22" s="141"/>
      <c r="EC22" s="141"/>
      <c r="ED22" s="141"/>
      <c r="EE22" s="141"/>
      <c r="EF22" s="141"/>
      <c r="EG22" s="141"/>
      <c r="EH22" s="141"/>
      <c r="EI22" s="141"/>
      <c r="EJ22" s="142"/>
      <c r="EK22" s="180"/>
    </row>
    <row r="23" spans="2:141" x14ac:dyDescent="0.25">
      <c r="B23" s="69" t="str">
        <f>IF(Profession="","",IF(HLOOKUP(Profession,Skills!$DO$3:$EK$126,ROW(D23)-2,FALSE)="","",HLOOKUP(Profession,Skills!$DO$3:$EK$126,ROW(D23)-2,FALSE)))</f>
        <v/>
      </c>
      <c r="C23" s="32"/>
      <c r="D23" s="35" t="s">
        <v>72</v>
      </c>
      <c r="E23" s="35" t="str">
        <f t="shared" si="57"/>
        <v>Gymnastic</v>
      </c>
      <c r="F23" s="164"/>
      <c r="G23" s="33">
        <f t="shared" ca="1" si="5"/>
        <v>-25</v>
      </c>
      <c r="H23" s="33">
        <f ca="1">SUM(O23:(OFFSET(O23,0,Level)))</f>
        <v>0</v>
      </c>
      <c r="I23" s="33">
        <f t="shared" ca="1" si="58"/>
        <v>-25</v>
      </c>
      <c r="J23" s="33">
        <f t="shared" si="7"/>
        <v>0</v>
      </c>
      <c r="K23" s="33">
        <f t="shared" ca="1" si="59"/>
        <v>0</v>
      </c>
      <c r="L23" s="168"/>
      <c r="M23" s="33" t="str">
        <f t="shared" si="9"/>
        <v>Ag/Qu/St</v>
      </c>
      <c r="N23" s="33" t="str">
        <f t="shared" si="54"/>
        <v>2/4</v>
      </c>
      <c r="O23" s="131"/>
      <c r="P23" s="168"/>
      <c r="Q23" s="168"/>
      <c r="R23" s="168"/>
      <c r="S23" s="168"/>
      <c r="T23" s="168"/>
      <c r="U23" s="164"/>
      <c r="V23" s="164"/>
      <c r="W23" s="164"/>
      <c r="X23" s="164"/>
      <c r="Y23" s="164"/>
      <c r="Z23" s="164"/>
      <c r="AA23" s="164"/>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c r="BL23" s="168"/>
      <c r="BM23" s="173"/>
      <c r="BO23" s="27" t="str">
        <f t="shared" si="2"/>
        <v>2</v>
      </c>
      <c r="BP23" s="8" t="str">
        <f t="shared" si="3"/>
        <v>4</v>
      </c>
      <c r="BQ23" s="8">
        <f t="shared" si="10"/>
        <v>0</v>
      </c>
      <c r="BR23" s="8">
        <f t="shared" si="11"/>
        <v>0</v>
      </c>
      <c r="BS23" s="8">
        <f t="shared" si="12"/>
        <v>0</v>
      </c>
      <c r="BT23" s="8">
        <f t="shared" si="13"/>
        <v>0</v>
      </c>
      <c r="BU23" s="8">
        <f t="shared" si="14"/>
        <v>0</v>
      </c>
      <c r="BV23" s="8">
        <f t="shared" si="15"/>
        <v>0</v>
      </c>
      <c r="BW23" s="8">
        <f t="shared" si="16"/>
        <v>0</v>
      </c>
      <c r="BX23" s="8">
        <f t="shared" si="17"/>
        <v>0</v>
      </c>
      <c r="BY23" s="8">
        <f t="shared" si="18"/>
        <v>0</v>
      </c>
      <c r="BZ23" s="8">
        <f t="shared" si="19"/>
        <v>0</v>
      </c>
      <c r="CA23" s="8">
        <f t="shared" si="20"/>
        <v>0</v>
      </c>
      <c r="CB23" s="8">
        <f t="shared" si="21"/>
        <v>0</v>
      </c>
      <c r="CC23" s="8">
        <f t="shared" si="22"/>
        <v>0</v>
      </c>
      <c r="CD23" s="8">
        <f t="shared" si="23"/>
        <v>0</v>
      </c>
      <c r="CE23" s="8">
        <f t="shared" si="24"/>
        <v>0</v>
      </c>
      <c r="CF23" s="8">
        <f t="shared" si="25"/>
        <v>0</v>
      </c>
      <c r="CG23" s="8">
        <f t="shared" si="26"/>
        <v>0</v>
      </c>
      <c r="CH23" s="8">
        <f t="shared" si="27"/>
        <v>0</v>
      </c>
      <c r="CI23" s="8">
        <f t="shared" si="28"/>
        <v>0</v>
      </c>
      <c r="CJ23" s="8">
        <f t="shared" si="29"/>
        <v>0</v>
      </c>
      <c r="CK23" s="8">
        <f t="shared" si="29"/>
        <v>0</v>
      </c>
      <c r="CL23" s="8">
        <f t="shared" si="29"/>
        <v>0</v>
      </c>
      <c r="CM23" s="8">
        <f t="shared" si="29"/>
        <v>0</v>
      </c>
      <c r="CN23" s="8">
        <f t="shared" si="29"/>
        <v>0</v>
      </c>
      <c r="CO23" s="8">
        <f t="shared" si="29"/>
        <v>0</v>
      </c>
      <c r="CP23" s="8">
        <f t="shared" si="29"/>
        <v>0</v>
      </c>
      <c r="CQ23" s="8">
        <f t="shared" si="30"/>
        <v>0</v>
      </c>
      <c r="CR23" s="8">
        <f t="shared" si="31"/>
        <v>0</v>
      </c>
      <c r="CS23" s="8">
        <f t="shared" si="32"/>
        <v>0</v>
      </c>
      <c r="CT23" s="8">
        <f t="shared" si="33"/>
        <v>0</v>
      </c>
      <c r="CU23" s="8">
        <f t="shared" si="34"/>
        <v>0</v>
      </c>
      <c r="CV23" s="8">
        <f t="shared" si="35"/>
        <v>0</v>
      </c>
      <c r="CW23" s="8">
        <f t="shared" si="36"/>
        <v>0</v>
      </c>
      <c r="CX23" s="8">
        <f t="shared" si="37"/>
        <v>0</v>
      </c>
      <c r="CY23" s="8">
        <f t="shared" si="38"/>
        <v>0</v>
      </c>
      <c r="CZ23" s="8">
        <f t="shared" si="39"/>
        <v>0</v>
      </c>
      <c r="DA23" s="8">
        <f t="shared" si="40"/>
        <v>0</v>
      </c>
      <c r="DB23" s="8">
        <f t="shared" si="41"/>
        <v>0</v>
      </c>
      <c r="DC23" s="8">
        <f t="shared" si="42"/>
        <v>0</v>
      </c>
      <c r="DD23" s="8">
        <f t="shared" si="43"/>
        <v>0</v>
      </c>
      <c r="DE23" s="8">
        <f t="shared" si="44"/>
        <v>0</v>
      </c>
      <c r="DF23" s="8">
        <f t="shared" si="45"/>
        <v>0</v>
      </c>
      <c r="DG23" s="8">
        <f t="shared" si="46"/>
        <v>0</v>
      </c>
      <c r="DH23" s="8">
        <f t="shared" si="47"/>
        <v>0</v>
      </c>
      <c r="DI23" s="8">
        <f t="shared" si="48"/>
        <v>0</v>
      </c>
      <c r="DJ23" s="8">
        <f t="shared" si="49"/>
        <v>0</v>
      </c>
      <c r="DK23" s="8">
        <f t="shared" si="50"/>
        <v>0</v>
      </c>
      <c r="DL23" s="8">
        <f t="shared" si="51"/>
        <v>0</v>
      </c>
      <c r="DM23" s="8">
        <f t="shared" si="52"/>
        <v>0</v>
      </c>
      <c r="DN23" s="8">
        <f t="shared" si="53"/>
        <v>0</v>
      </c>
      <c r="DO23" s="177"/>
      <c r="DP23" s="141"/>
      <c r="DQ23" s="141" t="s">
        <v>417</v>
      </c>
      <c r="DR23" s="141" t="s">
        <v>417</v>
      </c>
      <c r="DS23" s="141" t="s">
        <v>417</v>
      </c>
      <c r="DT23" s="141"/>
      <c r="DU23" s="141"/>
      <c r="DV23" s="141"/>
      <c r="DW23" s="141"/>
      <c r="DX23" s="141" t="s">
        <v>417</v>
      </c>
      <c r="DY23" s="141" t="s">
        <v>417</v>
      </c>
      <c r="DZ23" s="141"/>
      <c r="EA23" s="141" t="s">
        <v>417</v>
      </c>
      <c r="EB23" s="141"/>
      <c r="EC23" s="141"/>
      <c r="ED23" s="141"/>
      <c r="EE23" s="141"/>
      <c r="EF23" s="141"/>
      <c r="EG23" s="141"/>
      <c r="EH23" s="141"/>
      <c r="EI23" s="141"/>
      <c r="EJ23" s="142"/>
      <c r="EK23" s="180"/>
    </row>
    <row r="24" spans="2:141" x14ac:dyDescent="0.25">
      <c r="B24" s="69" t="str">
        <f>IF(Profession="","",IF(HLOOKUP(Profession,Skills!$DO$3:$EK$126,ROW(D24)-2,FALSE)="","",HLOOKUP(Profession,Skills!$DO$3:$EK$126,ROW(D24)-2,FALSE)))</f>
        <v>x</v>
      </c>
      <c r="C24" s="32"/>
      <c r="D24" s="35" t="s">
        <v>27</v>
      </c>
      <c r="E24" s="35" t="str">
        <f t="shared" si="57"/>
        <v>Movement</v>
      </c>
      <c r="F24" s="164" t="s">
        <v>252</v>
      </c>
      <c r="G24" s="33">
        <f ca="1">SUM(I24:L24)</f>
        <v>-25</v>
      </c>
      <c r="H24" s="33">
        <f ca="1">SUM(O24:(OFFSET(O24,0,Level)))</f>
        <v>0</v>
      </c>
      <c r="I24" s="33">
        <f ca="1">IF(Level=0,"",VLOOKUP(H24,RankBonus,2,FALSE))</f>
        <v>-25</v>
      </c>
      <c r="J24" s="33">
        <f>IF(OR(M24="",M24="-"),0,VLOOKUP(MID(M24,1,2),StatBonuses,2,FALSE)+VLOOKUP(MID(M24,4,2),StatBonuses,2,FALSE)+VLOOKUP(MID(M24,7,2),StatBonuses,2,FALSE))</f>
        <v>0</v>
      </c>
      <c r="K24" s="33">
        <f t="shared" ca="1" si="59"/>
        <v>0</v>
      </c>
      <c r="L24" s="168"/>
      <c r="M24" s="33" t="str">
        <f>IF(D24="","",VLOOKUP(D24,DPCosts,2,FALSE))</f>
        <v>Ag/Co/St</v>
      </c>
      <c r="N24" s="33" t="str">
        <f>IF(OR(D24="", Profession=""),"",VLOOKUP(D24,DPCosts,MATCH(Profession,Professions,0)+2,FALSE))</f>
        <v>1/3</v>
      </c>
      <c r="O24" s="131"/>
      <c r="P24" s="168"/>
      <c r="Q24" s="168"/>
      <c r="R24" s="168"/>
      <c r="S24" s="168"/>
      <c r="T24" s="168"/>
      <c r="U24" s="164"/>
      <c r="V24" s="164"/>
      <c r="W24" s="164"/>
      <c r="X24" s="164"/>
      <c r="Y24" s="164"/>
      <c r="Z24" s="164"/>
      <c r="AA24" s="164"/>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8"/>
      <c r="BK24" s="168"/>
      <c r="BL24" s="168"/>
      <c r="BM24" s="173"/>
      <c r="BO24" s="27" t="str">
        <f t="shared" si="2"/>
        <v>1</v>
      </c>
      <c r="BP24" s="8" t="str">
        <f t="shared" si="3"/>
        <v>3</v>
      </c>
      <c r="BQ24" s="8">
        <f t="shared" si="10"/>
        <v>0</v>
      </c>
      <c r="BR24" s="8">
        <f t="shared" si="11"/>
        <v>0</v>
      </c>
      <c r="BS24" s="8">
        <f t="shared" si="12"/>
        <v>0</v>
      </c>
      <c r="BT24" s="8">
        <f t="shared" si="13"/>
        <v>0</v>
      </c>
      <c r="BU24" s="8">
        <f t="shared" si="14"/>
        <v>0</v>
      </c>
      <c r="BV24" s="8">
        <f t="shared" si="15"/>
        <v>0</v>
      </c>
      <c r="BW24" s="8">
        <f t="shared" si="16"/>
        <v>0</v>
      </c>
      <c r="BX24" s="8">
        <f t="shared" si="17"/>
        <v>0</v>
      </c>
      <c r="BY24" s="8">
        <f t="shared" si="18"/>
        <v>0</v>
      </c>
      <c r="BZ24" s="8">
        <f t="shared" si="19"/>
        <v>0</v>
      </c>
      <c r="CA24" s="8">
        <f t="shared" si="20"/>
        <v>0</v>
      </c>
      <c r="CB24" s="8">
        <f t="shared" si="21"/>
        <v>0</v>
      </c>
      <c r="CC24" s="8">
        <f t="shared" si="22"/>
        <v>0</v>
      </c>
      <c r="CD24" s="8">
        <f t="shared" si="23"/>
        <v>0</v>
      </c>
      <c r="CE24" s="8">
        <f t="shared" si="24"/>
        <v>0</v>
      </c>
      <c r="CF24" s="8">
        <f t="shared" si="25"/>
        <v>0</v>
      </c>
      <c r="CG24" s="8">
        <f t="shared" si="26"/>
        <v>0</v>
      </c>
      <c r="CH24" s="8">
        <f t="shared" si="27"/>
        <v>0</v>
      </c>
      <c r="CI24" s="8">
        <f t="shared" si="28"/>
        <v>0</v>
      </c>
      <c r="CJ24" s="8">
        <f t="shared" ref="CJ24:CP41" si="61">IF(AI24=0,0,IF(AI24=1,INT($BO24),$BO24+$BP24*(AI24-1)))</f>
        <v>0</v>
      </c>
      <c r="CK24" s="8">
        <f t="shared" si="61"/>
        <v>0</v>
      </c>
      <c r="CL24" s="8">
        <f t="shared" si="61"/>
        <v>0</v>
      </c>
      <c r="CM24" s="8">
        <f t="shared" si="61"/>
        <v>0</v>
      </c>
      <c r="CN24" s="8">
        <f t="shared" si="61"/>
        <v>0</v>
      </c>
      <c r="CO24" s="8">
        <f t="shared" si="61"/>
        <v>0</v>
      </c>
      <c r="CP24" s="8">
        <f t="shared" si="61"/>
        <v>0</v>
      </c>
      <c r="CQ24" s="8">
        <f t="shared" si="30"/>
        <v>0</v>
      </c>
      <c r="CR24" s="8">
        <f t="shared" si="31"/>
        <v>0</v>
      </c>
      <c r="CS24" s="8">
        <f t="shared" si="32"/>
        <v>0</v>
      </c>
      <c r="CT24" s="8">
        <f t="shared" si="33"/>
        <v>0</v>
      </c>
      <c r="CU24" s="8">
        <f t="shared" si="34"/>
        <v>0</v>
      </c>
      <c r="CV24" s="8">
        <f t="shared" si="35"/>
        <v>0</v>
      </c>
      <c r="CW24" s="8">
        <f t="shared" si="36"/>
        <v>0</v>
      </c>
      <c r="CX24" s="8">
        <f t="shared" si="37"/>
        <v>0</v>
      </c>
      <c r="CY24" s="8">
        <f t="shared" si="38"/>
        <v>0</v>
      </c>
      <c r="CZ24" s="8">
        <f t="shared" si="39"/>
        <v>0</v>
      </c>
      <c r="DA24" s="8">
        <f t="shared" si="40"/>
        <v>0</v>
      </c>
      <c r="DB24" s="8">
        <f t="shared" si="41"/>
        <v>0</v>
      </c>
      <c r="DC24" s="8">
        <f t="shared" si="42"/>
        <v>0</v>
      </c>
      <c r="DD24" s="8">
        <f t="shared" si="43"/>
        <v>0</v>
      </c>
      <c r="DE24" s="8">
        <f t="shared" si="44"/>
        <v>0</v>
      </c>
      <c r="DF24" s="8">
        <f t="shared" si="45"/>
        <v>0</v>
      </c>
      <c r="DG24" s="8">
        <f t="shared" si="46"/>
        <v>0</v>
      </c>
      <c r="DH24" s="8">
        <f t="shared" si="47"/>
        <v>0</v>
      </c>
      <c r="DI24" s="8">
        <f t="shared" si="48"/>
        <v>0</v>
      </c>
      <c r="DJ24" s="8">
        <f t="shared" si="49"/>
        <v>0</v>
      </c>
      <c r="DK24" s="8">
        <f t="shared" si="50"/>
        <v>0</v>
      </c>
      <c r="DL24" s="8">
        <f t="shared" si="51"/>
        <v>0</v>
      </c>
      <c r="DM24" s="8">
        <f t="shared" si="52"/>
        <v>0</v>
      </c>
      <c r="DN24" s="8">
        <f t="shared" si="53"/>
        <v>0</v>
      </c>
      <c r="DO24" s="177"/>
      <c r="DP24" s="141" t="s">
        <v>417</v>
      </c>
      <c r="DQ24" s="141" t="s">
        <v>417</v>
      </c>
      <c r="DR24" s="141" t="s">
        <v>417</v>
      </c>
      <c r="DS24" s="141" t="s">
        <v>417</v>
      </c>
      <c r="DT24" s="141" t="s">
        <v>417</v>
      </c>
      <c r="DU24" s="141"/>
      <c r="DV24" s="141"/>
      <c r="DW24" s="141"/>
      <c r="DX24" s="141" t="s">
        <v>417</v>
      </c>
      <c r="DY24" s="141" t="s">
        <v>417</v>
      </c>
      <c r="DZ24" s="141"/>
      <c r="EA24" s="141"/>
      <c r="EB24" s="141"/>
      <c r="EC24" s="141"/>
      <c r="ED24" s="141"/>
      <c r="EE24" s="141"/>
      <c r="EF24" s="141"/>
      <c r="EG24" s="141"/>
      <c r="EH24" s="141"/>
      <c r="EI24" s="141"/>
      <c r="EJ24" s="142"/>
      <c r="EK24" s="180"/>
    </row>
    <row r="25" spans="2:141" x14ac:dyDescent="0.25">
      <c r="B25" s="69" t="str">
        <f>IF(Profession="","",IF(HLOOKUP(Profession,Skills!$DO$3:$EK$126,ROW(D25)-2,FALSE)="","",HLOOKUP(Profession,Skills!$DO$3:$EK$126,ROW(D25)-2,FALSE)))</f>
        <v>x</v>
      </c>
      <c r="C25" s="32"/>
      <c r="D25" s="35" t="s">
        <v>27</v>
      </c>
      <c r="E25" s="35" t="str">
        <f t="shared" si="57"/>
        <v>Movement</v>
      </c>
      <c r="F25" s="164" t="s">
        <v>253</v>
      </c>
      <c r="G25" s="33">
        <f ca="1">SUM(I25:L25)</f>
        <v>-25</v>
      </c>
      <c r="H25" s="33">
        <f ca="1">SUM(O25:(OFFSET(O25,0,Level)))</f>
        <v>0</v>
      </c>
      <c r="I25" s="33">
        <f ca="1">IF(Level=0,"",VLOOKUP(H25,RankBonus,2,FALSE))</f>
        <v>-25</v>
      </c>
      <c r="J25" s="33">
        <f>IF(OR(M25="",M25="-"),0,VLOOKUP(MID(M25,1,2),StatBonuses,2,FALSE)+VLOOKUP(MID(M25,4,2),StatBonuses,2,FALSE)+VLOOKUP(MID(M25,7,2),StatBonuses,2,FALSE))</f>
        <v>0</v>
      </c>
      <c r="K25" s="33">
        <f t="shared" ca="1" si="59"/>
        <v>0</v>
      </c>
      <c r="L25" s="168"/>
      <c r="M25" s="33" t="str">
        <f>IF(D25="","",VLOOKUP(D25,DPCosts,2,FALSE))</f>
        <v>Ag/Co/St</v>
      </c>
      <c r="N25" s="33" t="str">
        <f>IF(OR(D25="", Profession=""),"",VLOOKUP(D25,DPCosts,MATCH(Profession,Professions,0)+2,FALSE))</f>
        <v>1/3</v>
      </c>
      <c r="O25" s="131" t="str">
        <f>IF(OR(D25="",Culture=""),"",VLOOKUP("Movement: Running",CultureRanks,MATCH(Culture,CultureList,0)+1,FALSE))</f>
        <v/>
      </c>
      <c r="P25" s="168"/>
      <c r="Q25" s="168"/>
      <c r="R25" s="168"/>
      <c r="S25" s="168"/>
      <c r="T25" s="168"/>
      <c r="U25" s="164"/>
      <c r="V25" s="164"/>
      <c r="W25" s="164"/>
      <c r="X25" s="164"/>
      <c r="Y25" s="164"/>
      <c r="Z25" s="164"/>
      <c r="AA25" s="164"/>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73"/>
      <c r="BO25" s="27" t="str">
        <f t="shared" si="2"/>
        <v>1</v>
      </c>
      <c r="BP25" s="8" t="str">
        <f t="shared" si="3"/>
        <v>3</v>
      </c>
      <c r="BQ25" s="8">
        <f t="shared" si="10"/>
        <v>0</v>
      </c>
      <c r="BR25" s="8">
        <f t="shared" si="11"/>
        <v>0</v>
      </c>
      <c r="BS25" s="8">
        <f t="shared" si="12"/>
        <v>0</v>
      </c>
      <c r="BT25" s="8">
        <f t="shared" si="13"/>
        <v>0</v>
      </c>
      <c r="BU25" s="8">
        <f t="shared" si="14"/>
        <v>0</v>
      </c>
      <c r="BV25" s="8">
        <f t="shared" si="15"/>
        <v>0</v>
      </c>
      <c r="BW25" s="8">
        <f t="shared" si="16"/>
        <v>0</v>
      </c>
      <c r="BX25" s="8">
        <f t="shared" si="17"/>
        <v>0</v>
      </c>
      <c r="BY25" s="8">
        <f t="shared" si="18"/>
        <v>0</v>
      </c>
      <c r="BZ25" s="8">
        <f t="shared" si="19"/>
        <v>0</v>
      </c>
      <c r="CA25" s="8">
        <f t="shared" si="20"/>
        <v>0</v>
      </c>
      <c r="CB25" s="8">
        <f t="shared" si="21"/>
        <v>0</v>
      </c>
      <c r="CC25" s="8">
        <f t="shared" si="22"/>
        <v>0</v>
      </c>
      <c r="CD25" s="8">
        <f t="shared" si="23"/>
        <v>0</v>
      </c>
      <c r="CE25" s="8">
        <f t="shared" si="24"/>
        <v>0</v>
      </c>
      <c r="CF25" s="8">
        <f t="shared" si="25"/>
        <v>0</v>
      </c>
      <c r="CG25" s="8">
        <f t="shared" si="26"/>
        <v>0</v>
      </c>
      <c r="CH25" s="8">
        <f t="shared" si="27"/>
        <v>0</v>
      </c>
      <c r="CI25" s="8">
        <f t="shared" si="28"/>
        <v>0</v>
      </c>
      <c r="CJ25" s="8">
        <f t="shared" si="61"/>
        <v>0</v>
      </c>
      <c r="CK25" s="8">
        <f t="shared" si="61"/>
        <v>0</v>
      </c>
      <c r="CL25" s="8">
        <f t="shared" si="61"/>
        <v>0</v>
      </c>
      <c r="CM25" s="8">
        <f t="shared" si="61"/>
        <v>0</v>
      </c>
      <c r="CN25" s="8">
        <f t="shared" si="61"/>
        <v>0</v>
      </c>
      <c r="CO25" s="8">
        <f t="shared" si="61"/>
        <v>0</v>
      </c>
      <c r="CP25" s="8">
        <f t="shared" si="61"/>
        <v>0</v>
      </c>
      <c r="CQ25" s="8">
        <f t="shared" si="30"/>
        <v>0</v>
      </c>
      <c r="CR25" s="8">
        <f t="shared" si="31"/>
        <v>0</v>
      </c>
      <c r="CS25" s="8">
        <f t="shared" si="32"/>
        <v>0</v>
      </c>
      <c r="CT25" s="8">
        <f t="shared" si="33"/>
        <v>0</v>
      </c>
      <c r="CU25" s="8">
        <f t="shared" si="34"/>
        <v>0</v>
      </c>
      <c r="CV25" s="8">
        <f t="shared" si="35"/>
        <v>0</v>
      </c>
      <c r="CW25" s="8">
        <f t="shared" si="36"/>
        <v>0</v>
      </c>
      <c r="CX25" s="8">
        <f t="shared" si="37"/>
        <v>0</v>
      </c>
      <c r="CY25" s="8">
        <f t="shared" si="38"/>
        <v>0</v>
      </c>
      <c r="CZ25" s="8">
        <f t="shared" si="39"/>
        <v>0</v>
      </c>
      <c r="DA25" s="8">
        <f t="shared" si="40"/>
        <v>0</v>
      </c>
      <c r="DB25" s="8">
        <f t="shared" si="41"/>
        <v>0</v>
      </c>
      <c r="DC25" s="8">
        <f t="shared" si="42"/>
        <v>0</v>
      </c>
      <c r="DD25" s="8">
        <f t="shared" si="43"/>
        <v>0</v>
      </c>
      <c r="DE25" s="8">
        <f t="shared" si="44"/>
        <v>0</v>
      </c>
      <c r="DF25" s="8">
        <f t="shared" si="45"/>
        <v>0</v>
      </c>
      <c r="DG25" s="8">
        <f t="shared" si="46"/>
        <v>0</v>
      </c>
      <c r="DH25" s="8">
        <f t="shared" si="47"/>
        <v>0</v>
      </c>
      <c r="DI25" s="8">
        <f t="shared" si="48"/>
        <v>0</v>
      </c>
      <c r="DJ25" s="8">
        <f t="shared" si="49"/>
        <v>0</v>
      </c>
      <c r="DK25" s="8">
        <f t="shared" si="50"/>
        <v>0</v>
      </c>
      <c r="DL25" s="8">
        <f t="shared" si="51"/>
        <v>0</v>
      </c>
      <c r="DM25" s="8">
        <f t="shared" si="52"/>
        <v>0</v>
      </c>
      <c r="DN25" s="8">
        <f t="shared" si="53"/>
        <v>0</v>
      </c>
      <c r="DO25" s="177"/>
      <c r="DP25" s="141" t="s">
        <v>417</v>
      </c>
      <c r="DQ25" s="141" t="s">
        <v>417</v>
      </c>
      <c r="DR25" s="141" t="s">
        <v>417</v>
      </c>
      <c r="DS25" s="141" t="s">
        <v>417</v>
      </c>
      <c r="DT25" s="141" t="s">
        <v>417</v>
      </c>
      <c r="DU25" s="141"/>
      <c r="DV25" s="141"/>
      <c r="DW25" s="141"/>
      <c r="DX25" s="141" t="s">
        <v>417</v>
      </c>
      <c r="DY25" s="141" t="s">
        <v>417</v>
      </c>
      <c r="DZ25" s="141"/>
      <c r="EA25" s="141"/>
      <c r="EB25" s="141"/>
      <c r="EC25" s="141"/>
      <c r="ED25" s="141"/>
      <c r="EE25" s="141"/>
      <c r="EF25" s="141"/>
      <c r="EG25" s="141"/>
      <c r="EH25" s="141"/>
      <c r="EI25" s="141"/>
      <c r="EJ25" s="142"/>
      <c r="EK25" s="180"/>
    </row>
    <row r="26" spans="2:141" x14ac:dyDescent="0.25">
      <c r="B26" s="69" t="str">
        <f>IF(Profession="","",IF(HLOOKUP(Profession,Skills!$DO$3:$EK$126,ROW(D26)-2,FALSE)="","",HLOOKUP(Profession,Skills!$DO$3:$EK$126,ROW(D26)-2,FALSE)))</f>
        <v>x</v>
      </c>
      <c r="C26" s="32"/>
      <c r="D26" s="35" t="s">
        <v>27</v>
      </c>
      <c r="E26" s="35" t="str">
        <f t="shared" si="57"/>
        <v>Movement</v>
      </c>
      <c r="F26" s="164" t="s">
        <v>254</v>
      </c>
      <c r="G26" s="33">
        <f t="shared" ca="1" si="5"/>
        <v>-25</v>
      </c>
      <c r="H26" s="33">
        <f ca="1">SUM(O26:(OFFSET(O26,0,Level)))</f>
        <v>0</v>
      </c>
      <c r="I26" s="33">
        <f t="shared" ca="1" si="58"/>
        <v>-25</v>
      </c>
      <c r="J26" s="33">
        <f t="shared" si="7"/>
        <v>0</v>
      </c>
      <c r="K26" s="33">
        <f t="shared" ca="1" si="59"/>
        <v>0</v>
      </c>
      <c r="L26" s="168"/>
      <c r="M26" s="33" t="str">
        <f t="shared" si="9"/>
        <v>Ag/Co/St</v>
      </c>
      <c r="N26" s="33" t="str">
        <f t="shared" si="54"/>
        <v>1/3</v>
      </c>
      <c r="O26" s="131"/>
      <c r="P26" s="168"/>
      <c r="Q26" s="168"/>
      <c r="R26" s="168"/>
      <c r="S26" s="168"/>
      <c r="T26" s="168"/>
      <c r="U26" s="164"/>
      <c r="V26" s="164"/>
      <c r="W26" s="164"/>
      <c r="X26" s="164"/>
      <c r="Y26" s="164"/>
      <c r="Z26" s="164"/>
      <c r="AA26" s="164"/>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73"/>
      <c r="BO26" s="27" t="str">
        <f t="shared" si="2"/>
        <v>1</v>
      </c>
      <c r="BP26" s="8" t="str">
        <f t="shared" si="3"/>
        <v>3</v>
      </c>
      <c r="BQ26" s="8">
        <f t="shared" si="10"/>
        <v>0</v>
      </c>
      <c r="BR26" s="8">
        <f t="shared" si="11"/>
        <v>0</v>
      </c>
      <c r="BS26" s="8">
        <f t="shared" si="12"/>
        <v>0</v>
      </c>
      <c r="BT26" s="8">
        <f t="shared" si="13"/>
        <v>0</v>
      </c>
      <c r="BU26" s="8">
        <f t="shared" si="14"/>
        <v>0</v>
      </c>
      <c r="BV26" s="8">
        <f t="shared" si="15"/>
        <v>0</v>
      </c>
      <c r="BW26" s="8">
        <f t="shared" si="16"/>
        <v>0</v>
      </c>
      <c r="BX26" s="8">
        <f t="shared" si="17"/>
        <v>0</v>
      </c>
      <c r="BY26" s="8">
        <f t="shared" si="18"/>
        <v>0</v>
      </c>
      <c r="BZ26" s="8">
        <f t="shared" si="19"/>
        <v>0</v>
      </c>
      <c r="CA26" s="8">
        <f t="shared" si="20"/>
        <v>0</v>
      </c>
      <c r="CB26" s="8">
        <f t="shared" si="21"/>
        <v>0</v>
      </c>
      <c r="CC26" s="8">
        <f t="shared" si="22"/>
        <v>0</v>
      </c>
      <c r="CD26" s="8">
        <f t="shared" si="23"/>
        <v>0</v>
      </c>
      <c r="CE26" s="8">
        <f t="shared" si="24"/>
        <v>0</v>
      </c>
      <c r="CF26" s="8">
        <f t="shared" si="25"/>
        <v>0</v>
      </c>
      <c r="CG26" s="8">
        <f t="shared" si="26"/>
        <v>0</v>
      </c>
      <c r="CH26" s="8">
        <f t="shared" si="27"/>
        <v>0</v>
      </c>
      <c r="CI26" s="8">
        <f t="shared" si="28"/>
        <v>0</v>
      </c>
      <c r="CJ26" s="8">
        <f t="shared" si="61"/>
        <v>0</v>
      </c>
      <c r="CK26" s="8">
        <f t="shared" si="61"/>
        <v>0</v>
      </c>
      <c r="CL26" s="8">
        <f t="shared" si="61"/>
        <v>0</v>
      </c>
      <c r="CM26" s="8">
        <f t="shared" si="61"/>
        <v>0</v>
      </c>
      <c r="CN26" s="8">
        <f t="shared" si="61"/>
        <v>0</v>
      </c>
      <c r="CO26" s="8">
        <f t="shared" si="61"/>
        <v>0</v>
      </c>
      <c r="CP26" s="8">
        <f t="shared" si="61"/>
        <v>0</v>
      </c>
      <c r="CQ26" s="8">
        <f t="shared" si="30"/>
        <v>0</v>
      </c>
      <c r="CR26" s="8">
        <f t="shared" si="31"/>
        <v>0</v>
      </c>
      <c r="CS26" s="8">
        <f t="shared" si="32"/>
        <v>0</v>
      </c>
      <c r="CT26" s="8">
        <f t="shared" si="33"/>
        <v>0</v>
      </c>
      <c r="CU26" s="8">
        <f t="shared" si="34"/>
        <v>0</v>
      </c>
      <c r="CV26" s="8">
        <f t="shared" si="35"/>
        <v>0</v>
      </c>
      <c r="CW26" s="8">
        <f t="shared" si="36"/>
        <v>0</v>
      </c>
      <c r="CX26" s="8">
        <f t="shared" si="37"/>
        <v>0</v>
      </c>
      <c r="CY26" s="8">
        <f t="shared" si="38"/>
        <v>0</v>
      </c>
      <c r="CZ26" s="8">
        <f t="shared" si="39"/>
        <v>0</v>
      </c>
      <c r="DA26" s="8">
        <f t="shared" si="40"/>
        <v>0</v>
      </c>
      <c r="DB26" s="8">
        <f t="shared" si="41"/>
        <v>0</v>
      </c>
      <c r="DC26" s="8">
        <f t="shared" si="42"/>
        <v>0</v>
      </c>
      <c r="DD26" s="8">
        <f t="shared" si="43"/>
        <v>0</v>
      </c>
      <c r="DE26" s="8">
        <f t="shared" si="44"/>
        <v>0</v>
      </c>
      <c r="DF26" s="8">
        <f t="shared" si="45"/>
        <v>0</v>
      </c>
      <c r="DG26" s="8">
        <f t="shared" si="46"/>
        <v>0</v>
      </c>
      <c r="DH26" s="8">
        <f t="shared" si="47"/>
        <v>0</v>
      </c>
      <c r="DI26" s="8">
        <f t="shared" si="48"/>
        <v>0</v>
      </c>
      <c r="DJ26" s="8">
        <f t="shared" si="49"/>
        <v>0</v>
      </c>
      <c r="DK26" s="8">
        <f t="shared" si="50"/>
        <v>0</v>
      </c>
      <c r="DL26" s="8">
        <f t="shared" si="51"/>
        <v>0</v>
      </c>
      <c r="DM26" s="8">
        <f t="shared" si="52"/>
        <v>0</v>
      </c>
      <c r="DN26" s="8">
        <f t="shared" si="53"/>
        <v>0</v>
      </c>
      <c r="DO26" s="177"/>
      <c r="DP26" s="141" t="s">
        <v>417</v>
      </c>
      <c r="DQ26" s="141" t="s">
        <v>417</v>
      </c>
      <c r="DR26" s="141" t="s">
        <v>417</v>
      </c>
      <c r="DS26" s="141" t="s">
        <v>417</v>
      </c>
      <c r="DT26" s="141" t="s">
        <v>417</v>
      </c>
      <c r="DU26" s="141"/>
      <c r="DV26" s="141"/>
      <c r="DW26" s="141"/>
      <c r="DX26" s="141" t="s">
        <v>417</v>
      </c>
      <c r="DY26" s="141" t="s">
        <v>417</v>
      </c>
      <c r="DZ26" s="141"/>
      <c r="EA26" s="141"/>
      <c r="EB26" s="141"/>
      <c r="EC26" s="141"/>
      <c r="ED26" s="141"/>
      <c r="EE26" s="141"/>
      <c r="EF26" s="141"/>
      <c r="EG26" s="141"/>
      <c r="EH26" s="141"/>
      <c r="EI26" s="141"/>
      <c r="EJ26" s="142"/>
      <c r="EK26" s="180"/>
    </row>
    <row r="27" spans="2:141" x14ac:dyDescent="0.25">
      <c r="B27" s="69" t="str">
        <f>IF(Profession="","",IF(HLOOKUP(Profession,Skills!$DO$3:$EK$126,ROW(D27)-2,FALSE)="","",HLOOKUP(Profession,Skills!$DO$3:$EK$126,ROW(D27)-2,FALSE)))</f>
        <v>x</v>
      </c>
      <c r="C27" s="32"/>
      <c r="D27" s="35" t="s">
        <v>27</v>
      </c>
      <c r="E27" s="35" t="str">
        <f t="shared" si="57"/>
        <v>Movement</v>
      </c>
      <c r="F27" s="164"/>
      <c r="G27" s="33">
        <f t="shared" ca="1" si="5"/>
        <v>-25</v>
      </c>
      <c r="H27" s="33">
        <f ca="1">SUM(O27:(OFFSET(O27,0,Level)))</f>
        <v>0</v>
      </c>
      <c r="I27" s="33">
        <f t="shared" ca="1" si="58"/>
        <v>-25</v>
      </c>
      <c r="J27" s="33">
        <f t="shared" si="7"/>
        <v>0</v>
      </c>
      <c r="K27" s="33">
        <f t="shared" ca="1" si="59"/>
        <v>0</v>
      </c>
      <c r="L27" s="168"/>
      <c r="M27" s="33" t="str">
        <f t="shared" si="9"/>
        <v>Ag/Co/St</v>
      </c>
      <c r="N27" s="33" t="str">
        <f t="shared" si="54"/>
        <v>1/3</v>
      </c>
      <c r="O27" s="131"/>
      <c r="P27" s="168"/>
      <c r="Q27" s="168"/>
      <c r="R27" s="168"/>
      <c r="S27" s="168"/>
      <c r="T27" s="168"/>
      <c r="U27" s="164"/>
      <c r="V27" s="164"/>
      <c r="W27" s="164"/>
      <c r="X27" s="164"/>
      <c r="Y27" s="164"/>
      <c r="Z27" s="164"/>
      <c r="AA27" s="164"/>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73"/>
      <c r="BO27" s="27" t="str">
        <f t="shared" si="2"/>
        <v>1</v>
      </c>
      <c r="BP27" s="8" t="str">
        <f t="shared" si="3"/>
        <v>3</v>
      </c>
      <c r="BQ27" s="8">
        <f t="shared" si="10"/>
        <v>0</v>
      </c>
      <c r="BR27" s="8">
        <f t="shared" si="11"/>
        <v>0</v>
      </c>
      <c r="BS27" s="8">
        <f t="shared" si="12"/>
        <v>0</v>
      </c>
      <c r="BT27" s="8">
        <f t="shared" si="13"/>
        <v>0</v>
      </c>
      <c r="BU27" s="8">
        <f t="shared" si="14"/>
        <v>0</v>
      </c>
      <c r="BV27" s="8">
        <f t="shared" si="15"/>
        <v>0</v>
      </c>
      <c r="BW27" s="8">
        <f t="shared" si="16"/>
        <v>0</v>
      </c>
      <c r="BX27" s="8">
        <f t="shared" si="17"/>
        <v>0</v>
      </c>
      <c r="BY27" s="8">
        <f t="shared" si="18"/>
        <v>0</v>
      </c>
      <c r="BZ27" s="8">
        <f t="shared" si="19"/>
        <v>0</v>
      </c>
      <c r="CA27" s="8">
        <f t="shared" si="20"/>
        <v>0</v>
      </c>
      <c r="CB27" s="8">
        <f t="shared" si="21"/>
        <v>0</v>
      </c>
      <c r="CC27" s="8">
        <f t="shared" si="22"/>
        <v>0</v>
      </c>
      <c r="CD27" s="8">
        <f t="shared" si="23"/>
        <v>0</v>
      </c>
      <c r="CE27" s="8">
        <f t="shared" si="24"/>
        <v>0</v>
      </c>
      <c r="CF27" s="8">
        <f t="shared" si="25"/>
        <v>0</v>
      </c>
      <c r="CG27" s="8">
        <f t="shared" si="26"/>
        <v>0</v>
      </c>
      <c r="CH27" s="8">
        <f t="shared" si="27"/>
        <v>0</v>
      </c>
      <c r="CI27" s="8">
        <f t="shared" si="28"/>
        <v>0</v>
      </c>
      <c r="CJ27" s="8">
        <f t="shared" si="61"/>
        <v>0</v>
      </c>
      <c r="CK27" s="8">
        <f t="shared" si="61"/>
        <v>0</v>
      </c>
      <c r="CL27" s="8">
        <f t="shared" si="61"/>
        <v>0</v>
      </c>
      <c r="CM27" s="8">
        <f t="shared" si="61"/>
        <v>0</v>
      </c>
      <c r="CN27" s="8">
        <f t="shared" si="61"/>
        <v>0</v>
      </c>
      <c r="CO27" s="8">
        <f t="shared" si="61"/>
        <v>0</v>
      </c>
      <c r="CP27" s="8">
        <f t="shared" si="61"/>
        <v>0</v>
      </c>
      <c r="CQ27" s="8">
        <f t="shared" si="30"/>
        <v>0</v>
      </c>
      <c r="CR27" s="8">
        <f t="shared" si="31"/>
        <v>0</v>
      </c>
      <c r="CS27" s="8">
        <f t="shared" si="32"/>
        <v>0</v>
      </c>
      <c r="CT27" s="8">
        <f t="shared" si="33"/>
        <v>0</v>
      </c>
      <c r="CU27" s="8">
        <f t="shared" si="34"/>
        <v>0</v>
      </c>
      <c r="CV27" s="8">
        <f t="shared" si="35"/>
        <v>0</v>
      </c>
      <c r="CW27" s="8">
        <f t="shared" si="36"/>
        <v>0</v>
      </c>
      <c r="CX27" s="8">
        <f t="shared" si="37"/>
        <v>0</v>
      </c>
      <c r="CY27" s="8">
        <f t="shared" si="38"/>
        <v>0</v>
      </c>
      <c r="CZ27" s="8">
        <f t="shared" si="39"/>
        <v>0</v>
      </c>
      <c r="DA27" s="8">
        <f t="shared" si="40"/>
        <v>0</v>
      </c>
      <c r="DB27" s="8">
        <f t="shared" si="41"/>
        <v>0</v>
      </c>
      <c r="DC27" s="8">
        <f t="shared" si="42"/>
        <v>0</v>
      </c>
      <c r="DD27" s="8">
        <f t="shared" si="43"/>
        <v>0</v>
      </c>
      <c r="DE27" s="8">
        <f t="shared" si="44"/>
        <v>0</v>
      </c>
      <c r="DF27" s="8">
        <f t="shared" si="45"/>
        <v>0</v>
      </c>
      <c r="DG27" s="8">
        <f t="shared" si="46"/>
        <v>0</v>
      </c>
      <c r="DH27" s="8">
        <f t="shared" si="47"/>
        <v>0</v>
      </c>
      <c r="DI27" s="8">
        <f t="shared" si="48"/>
        <v>0</v>
      </c>
      <c r="DJ27" s="8">
        <f t="shared" si="49"/>
        <v>0</v>
      </c>
      <c r="DK27" s="8">
        <f t="shared" si="50"/>
        <v>0</v>
      </c>
      <c r="DL27" s="8">
        <f t="shared" si="51"/>
        <v>0</v>
      </c>
      <c r="DM27" s="8">
        <f t="shared" si="52"/>
        <v>0</v>
      </c>
      <c r="DN27" s="8">
        <f t="shared" si="53"/>
        <v>0</v>
      </c>
      <c r="DO27" s="177"/>
      <c r="DP27" s="141" t="s">
        <v>417</v>
      </c>
      <c r="DQ27" s="141" t="s">
        <v>417</v>
      </c>
      <c r="DR27" s="141" t="s">
        <v>417</v>
      </c>
      <c r="DS27" s="141" t="s">
        <v>417</v>
      </c>
      <c r="DT27" s="141" t="s">
        <v>417</v>
      </c>
      <c r="DU27" s="141"/>
      <c r="DV27" s="141"/>
      <c r="DW27" s="141"/>
      <c r="DX27" s="141" t="s">
        <v>417</v>
      </c>
      <c r="DY27" s="141" t="s">
        <v>417</v>
      </c>
      <c r="DZ27" s="141"/>
      <c r="EA27" s="141"/>
      <c r="EB27" s="141"/>
      <c r="EC27" s="141"/>
      <c r="ED27" s="141"/>
      <c r="EE27" s="141"/>
      <c r="EF27" s="141"/>
      <c r="EG27" s="141"/>
      <c r="EH27" s="141"/>
      <c r="EI27" s="141"/>
      <c r="EJ27" s="142"/>
      <c r="EK27" s="180"/>
    </row>
    <row r="28" spans="2:141" x14ac:dyDescent="0.25">
      <c r="B28" s="69"/>
      <c r="C28" s="32" t="s">
        <v>53</v>
      </c>
      <c r="D28" s="35"/>
      <c r="E28" s="35"/>
      <c r="F28" s="52"/>
      <c r="G28" s="33"/>
      <c r="H28" s="33"/>
      <c r="I28" s="33"/>
      <c r="J28" s="33"/>
      <c r="K28" s="33"/>
      <c r="L28" s="169"/>
      <c r="M28" s="33"/>
      <c r="N28" s="33"/>
      <c r="O28" s="51"/>
      <c r="P28" s="174"/>
      <c r="Q28" s="174"/>
      <c r="R28" s="174"/>
      <c r="S28" s="174"/>
      <c r="T28" s="174"/>
      <c r="U28" s="166"/>
      <c r="V28" s="166"/>
      <c r="W28" s="166"/>
      <c r="X28" s="166"/>
      <c r="Y28" s="166"/>
      <c r="Z28" s="166"/>
      <c r="AA28" s="166"/>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5"/>
      <c r="BO28" s="27" t="str">
        <f t="shared" si="2"/>
        <v/>
      </c>
      <c r="BP28" s="8" t="str">
        <f t="shared" si="3"/>
        <v/>
      </c>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169"/>
      <c r="DP28" s="35"/>
      <c r="DQ28" s="35"/>
      <c r="DR28" s="35"/>
      <c r="DS28" s="35"/>
      <c r="DT28" s="35"/>
      <c r="DU28" s="35"/>
      <c r="DV28" s="35"/>
      <c r="DW28" s="35"/>
      <c r="DX28" s="35"/>
      <c r="DY28" s="35"/>
      <c r="DZ28" s="35"/>
      <c r="EA28" s="35"/>
      <c r="EB28" s="35"/>
      <c r="EC28" s="35"/>
      <c r="ED28" s="35"/>
      <c r="EE28" s="35"/>
      <c r="EF28" s="35"/>
      <c r="EG28" s="35"/>
      <c r="EH28" s="35"/>
      <c r="EI28" s="35"/>
      <c r="EJ28" s="35"/>
      <c r="EK28" s="181"/>
    </row>
    <row r="29" spans="2:141" x14ac:dyDescent="0.25">
      <c r="B29" s="69" t="str">
        <f>IF(Profession="","",IF(HLOOKUP(Profession,Skills!$DO$3:$EK$126,ROW(D29)-2,FALSE)="","",HLOOKUP(Profession,Skills!$DO$3:$EK$126,ROW(D29)-2,FALSE)))</f>
        <v>x</v>
      </c>
      <c r="C29" s="32"/>
      <c r="D29" s="35" t="s">
        <v>73</v>
      </c>
      <c r="E29" s="35" t="str">
        <f t="shared" ref="E29:E35" si="62">D29</f>
        <v>Combat Expertise</v>
      </c>
      <c r="F29" s="164" t="s">
        <v>257</v>
      </c>
      <c r="G29" s="33">
        <f ca="1">IF(OR(I29+J29+K29+L29&lt;=0),0,I29+J29+K29+L29)</f>
        <v>0</v>
      </c>
      <c r="H29" s="33">
        <f ca="1">SUM(O29:(OFFSET(O29,0,Level)))</f>
        <v>0</v>
      </c>
      <c r="I29" s="33">
        <f t="shared" ref="I29:I43" ca="1" si="63">IF(Level=0,"",VLOOKUP(H29,RankBonus,2,FALSE))</f>
        <v>-25</v>
      </c>
      <c r="J29" s="33">
        <f t="shared" si="7"/>
        <v>0</v>
      </c>
      <c r="K29" s="33">
        <f t="shared" ref="K29:K43" ca="1" si="64">IF(Profession="",0,IF(Profession="No Profession",IF(B29="x",H29,0),(VLOOKUP(D29,PBSkills,MATCH(Profession,Professions,0)+2,FALSE)*H29)))</f>
        <v>0</v>
      </c>
      <c r="L29" s="168"/>
      <c r="M29" s="33" t="str">
        <f t="shared" si="9"/>
        <v>-</v>
      </c>
      <c r="N29" s="33" t="str">
        <f t="shared" si="54"/>
        <v>1/2</v>
      </c>
      <c r="O29" s="131"/>
      <c r="P29" s="168"/>
      <c r="Q29" s="168"/>
      <c r="R29" s="168"/>
      <c r="S29" s="168"/>
      <c r="T29" s="168"/>
      <c r="U29" s="164"/>
      <c r="V29" s="164"/>
      <c r="W29" s="164"/>
      <c r="X29" s="164"/>
      <c r="Y29" s="164"/>
      <c r="Z29" s="164"/>
      <c r="AA29" s="164"/>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73"/>
      <c r="BO29" s="27" t="str">
        <f t="shared" si="2"/>
        <v>1</v>
      </c>
      <c r="BP29" s="8" t="str">
        <f t="shared" si="3"/>
        <v>2</v>
      </c>
      <c r="BQ29" s="8">
        <f t="shared" si="10"/>
        <v>0</v>
      </c>
      <c r="BR29" s="8">
        <f t="shared" si="11"/>
        <v>0</v>
      </c>
      <c r="BS29" s="8">
        <f t="shared" si="12"/>
        <v>0</v>
      </c>
      <c r="BT29" s="8">
        <f t="shared" si="13"/>
        <v>0</v>
      </c>
      <c r="BU29" s="8">
        <f t="shared" si="14"/>
        <v>0</v>
      </c>
      <c r="BV29" s="8">
        <f t="shared" si="15"/>
        <v>0</v>
      </c>
      <c r="BW29" s="8">
        <f t="shared" si="16"/>
        <v>0</v>
      </c>
      <c r="BX29" s="8">
        <f t="shared" si="17"/>
        <v>0</v>
      </c>
      <c r="BY29" s="8">
        <f t="shared" si="18"/>
        <v>0</v>
      </c>
      <c r="BZ29" s="8">
        <f t="shared" si="19"/>
        <v>0</v>
      </c>
      <c r="CA29" s="8">
        <f t="shared" si="20"/>
        <v>0</v>
      </c>
      <c r="CB29" s="8">
        <f t="shared" si="21"/>
        <v>0</v>
      </c>
      <c r="CC29" s="8">
        <f t="shared" si="22"/>
        <v>0</v>
      </c>
      <c r="CD29" s="8">
        <f t="shared" si="23"/>
        <v>0</v>
      </c>
      <c r="CE29" s="8">
        <f t="shared" si="24"/>
        <v>0</v>
      </c>
      <c r="CF29" s="8">
        <f t="shared" si="25"/>
        <v>0</v>
      </c>
      <c r="CG29" s="8">
        <f t="shared" si="26"/>
        <v>0</v>
      </c>
      <c r="CH29" s="8">
        <f t="shared" si="27"/>
        <v>0</v>
      </c>
      <c r="CI29" s="8">
        <f t="shared" si="28"/>
        <v>0</v>
      </c>
      <c r="CJ29" s="8">
        <f t="shared" si="61"/>
        <v>0</v>
      </c>
      <c r="CK29" s="8">
        <f t="shared" si="61"/>
        <v>0</v>
      </c>
      <c r="CL29" s="8">
        <f t="shared" si="61"/>
        <v>0</v>
      </c>
      <c r="CM29" s="8">
        <f t="shared" si="61"/>
        <v>0</v>
      </c>
      <c r="CN29" s="8">
        <f t="shared" si="61"/>
        <v>0</v>
      </c>
      <c r="CO29" s="8">
        <f t="shared" si="61"/>
        <v>0</v>
      </c>
      <c r="CP29" s="8">
        <f t="shared" si="61"/>
        <v>0</v>
      </c>
      <c r="CQ29" s="8">
        <f t="shared" si="30"/>
        <v>0</v>
      </c>
      <c r="CR29" s="8">
        <f t="shared" si="31"/>
        <v>0</v>
      </c>
      <c r="CS29" s="8">
        <f t="shared" si="32"/>
        <v>0</v>
      </c>
      <c r="CT29" s="8">
        <f t="shared" si="33"/>
        <v>0</v>
      </c>
      <c r="CU29" s="8">
        <f t="shared" si="34"/>
        <v>0</v>
      </c>
      <c r="CV29" s="8">
        <f t="shared" si="35"/>
        <v>0</v>
      </c>
      <c r="CW29" s="8">
        <f t="shared" si="36"/>
        <v>0</v>
      </c>
      <c r="CX29" s="8">
        <f t="shared" si="37"/>
        <v>0</v>
      </c>
      <c r="CY29" s="8">
        <f t="shared" si="38"/>
        <v>0</v>
      </c>
      <c r="CZ29" s="8">
        <f t="shared" si="39"/>
        <v>0</v>
      </c>
      <c r="DA29" s="8">
        <f t="shared" si="40"/>
        <v>0</v>
      </c>
      <c r="DB29" s="8">
        <f t="shared" si="41"/>
        <v>0</v>
      </c>
      <c r="DC29" s="8">
        <f t="shared" si="42"/>
        <v>0</v>
      </c>
      <c r="DD29" s="8">
        <f t="shared" si="43"/>
        <v>0</v>
      </c>
      <c r="DE29" s="8">
        <f t="shared" si="44"/>
        <v>0</v>
      </c>
      <c r="DF29" s="8">
        <f t="shared" si="45"/>
        <v>0</v>
      </c>
      <c r="DG29" s="8">
        <f t="shared" si="46"/>
        <v>0</v>
      </c>
      <c r="DH29" s="8">
        <f t="shared" si="47"/>
        <v>0</v>
      </c>
      <c r="DI29" s="8">
        <f t="shared" si="48"/>
        <v>0</v>
      </c>
      <c r="DJ29" s="8">
        <f t="shared" si="49"/>
        <v>0</v>
      </c>
      <c r="DK29" s="8">
        <f t="shared" si="50"/>
        <v>0</v>
      </c>
      <c r="DL29" s="8">
        <f t="shared" si="51"/>
        <v>0</v>
      </c>
      <c r="DM29" s="8">
        <f t="shared" si="52"/>
        <v>0</v>
      </c>
      <c r="DN29" s="8">
        <f t="shared" si="53"/>
        <v>0</v>
      </c>
      <c r="DO29" s="177"/>
      <c r="DP29" s="141" t="s">
        <v>417</v>
      </c>
      <c r="DQ29" s="141" t="s">
        <v>417</v>
      </c>
      <c r="DR29" s="141"/>
      <c r="DS29" s="141" t="s">
        <v>417</v>
      </c>
      <c r="DT29" s="141"/>
      <c r="DU29" s="141"/>
      <c r="DV29" s="141"/>
      <c r="DW29" s="141"/>
      <c r="DX29" s="141"/>
      <c r="DY29" s="141"/>
      <c r="DZ29" s="141"/>
      <c r="EA29" s="141"/>
      <c r="EB29" s="141"/>
      <c r="EC29" s="141"/>
      <c r="ED29" s="141"/>
      <c r="EE29" s="141"/>
      <c r="EF29" s="141"/>
      <c r="EG29" s="141"/>
      <c r="EH29" s="141"/>
      <c r="EI29" s="141"/>
      <c r="EJ29" s="142"/>
      <c r="EK29" s="180"/>
    </row>
    <row r="30" spans="2:141" x14ac:dyDescent="0.25">
      <c r="B30" s="69" t="str">
        <f>IF(Profession="","",IF(HLOOKUP(Profession,Skills!$DO$3:$EK$126,ROW(D30)-2,FALSE)="","",HLOOKUP(Profession,Skills!$DO$3:$EK$126,ROW(D30)-2,FALSE)))</f>
        <v>x</v>
      </c>
      <c r="C30" s="32"/>
      <c r="D30" s="35" t="s">
        <v>73</v>
      </c>
      <c r="E30" s="35" t="str">
        <f t="shared" si="62"/>
        <v>Combat Expertise</v>
      </c>
      <c r="F30" s="164"/>
      <c r="G30" s="33">
        <f t="shared" ref="G30:G34" ca="1" si="65">IF(OR(I30+J30+K30+L30&lt;=0),0,I30+J30+K30+L30)</f>
        <v>0</v>
      </c>
      <c r="H30" s="33">
        <f ca="1">SUM(O30:(OFFSET(O30,0,Level)))</f>
        <v>0</v>
      </c>
      <c r="I30" s="33">
        <f t="shared" ca="1" si="63"/>
        <v>-25</v>
      </c>
      <c r="J30" s="33">
        <f t="shared" si="7"/>
        <v>0</v>
      </c>
      <c r="K30" s="33">
        <f t="shared" ca="1" si="64"/>
        <v>0</v>
      </c>
      <c r="L30" s="168"/>
      <c r="M30" s="33" t="str">
        <f t="shared" si="9"/>
        <v>-</v>
      </c>
      <c r="N30" s="33" t="str">
        <f t="shared" si="54"/>
        <v>1/2</v>
      </c>
      <c r="O30" s="131"/>
      <c r="P30" s="168"/>
      <c r="Q30" s="168"/>
      <c r="R30" s="168"/>
      <c r="S30" s="168"/>
      <c r="T30" s="168"/>
      <c r="U30" s="164"/>
      <c r="V30" s="164"/>
      <c r="W30" s="164"/>
      <c r="X30" s="164"/>
      <c r="Y30" s="164"/>
      <c r="Z30" s="164"/>
      <c r="AA30" s="164"/>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73"/>
      <c r="BO30" s="27" t="str">
        <f t="shared" si="2"/>
        <v>1</v>
      </c>
      <c r="BP30" s="8" t="str">
        <f t="shared" si="3"/>
        <v>2</v>
      </c>
      <c r="BQ30" s="8">
        <f t="shared" si="10"/>
        <v>0</v>
      </c>
      <c r="BR30" s="8">
        <f t="shared" si="11"/>
        <v>0</v>
      </c>
      <c r="BS30" s="8">
        <f t="shared" si="12"/>
        <v>0</v>
      </c>
      <c r="BT30" s="8">
        <f t="shared" si="13"/>
        <v>0</v>
      </c>
      <c r="BU30" s="8">
        <f t="shared" si="14"/>
        <v>0</v>
      </c>
      <c r="BV30" s="8">
        <f t="shared" si="15"/>
        <v>0</v>
      </c>
      <c r="BW30" s="8">
        <f t="shared" si="16"/>
        <v>0</v>
      </c>
      <c r="BX30" s="8">
        <f t="shared" si="17"/>
        <v>0</v>
      </c>
      <c r="BY30" s="8">
        <f t="shared" si="18"/>
        <v>0</v>
      </c>
      <c r="BZ30" s="8">
        <f t="shared" si="19"/>
        <v>0</v>
      </c>
      <c r="CA30" s="8">
        <f t="shared" si="20"/>
        <v>0</v>
      </c>
      <c r="CB30" s="8">
        <f t="shared" si="21"/>
        <v>0</v>
      </c>
      <c r="CC30" s="8">
        <f t="shared" si="22"/>
        <v>0</v>
      </c>
      <c r="CD30" s="8">
        <f t="shared" si="23"/>
        <v>0</v>
      </c>
      <c r="CE30" s="8">
        <f t="shared" si="24"/>
        <v>0</v>
      </c>
      <c r="CF30" s="8">
        <f t="shared" si="25"/>
        <v>0</v>
      </c>
      <c r="CG30" s="8">
        <f t="shared" si="26"/>
        <v>0</v>
      </c>
      <c r="CH30" s="8">
        <f t="shared" si="27"/>
        <v>0</v>
      </c>
      <c r="CI30" s="8">
        <f t="shared" si="28"/>
        <v>0</v>
      </c>
      <c r="CJ30" s="8">
        <f t="shared" si="61"/>
        <v>0</v>
      </c>
      <c r="CK30" s="8">
        <f t="shared" si="61"/>
        <v>0</v>
      </c>
      <c r="CL30" s="8">
        <f t="shared" si="61"/>
        <v>0</v>
      </c>
      <c r="CM30" s="8">
        <f t="shared" si="61"/>
        <v>0</v>
      </c>
      <c r="CN30" s="8">
        <f t="shared" si="61"/>
        <v>0</v>
      </c>
      <c r="CO30" s="8">
        <f t="shared" si="61"/>
        <v>0</v>
      </c>
      <c r="CP30" s="8">
        <f t="shared" si="61"/>
        <v>0</v>
      </c>
      <c r="CQ30" s="8">
        <f t="shared" si="30"/>
        <v>0</v>
      </c>
      <c r="CR30" s="8">
        <f t="shared" si="31"/>
        <v>0</v>
      </c>
      <c r="CS30" s="8">
        <f t="shared" si="32"/>
        <v>0</v>
      </c>
      <c r="CT30" s="8">
        <f t="shared" si="33"/>
        <v>0</v>
      </c>
      <c r="CU30" s="8">
        <f t="shared" si="34"/>
        <v>0</v>
      </c>
      <c r="CV30" s="8">
        <f t="shared" si="35"/>
        <v>0</v>
      </c>
      <c r="CW30" s="8">
        <f t="shared" si="36"/>
        <v>0</v>
      </c>
      <c r="CX30" s="8">
        <f t="shared" si="37"/>
        <v>0</v>
      </c>
      <c r="CY30" s="8">
        <f t="shared" si="38"/>
        <v>0</v>
      </c>
      <c r="CZ30" s="8">
        <f t="shared" si="39"/>
        <v>0</v>
      </c>
      <c r="DA30" s="8">
        <f t="shared" si="40"/>
        <v>0</v>
      </c>
      <c r="DB30" s="8">
        <f t="shared" si="41"/>
        <v>0</v>
      </c>
      <c r="DC30" s="8">
        <f t="shared" si="42"/>
        <v>0</v>
      </c>
      <c r="DD30" s="8">
        <f t="shared" si="43"/>
        <v>0</v>
      </c>
      <c r="DE30" s="8">
        <f t="shared" si="44"/>
        <v>0</v>
      </c>
      <c r="DF30" s="8">
        <f t="shared" si="45"/>
        <v>0</v>
      </c>
      <c r="DG30" s="8">
        <f t="shared" si="46"/>
        <v>0</v>
      </c>
      <c r="DH30" s="8">
        <f t="shared" si="47"/>
        <v>0</v>
      </c>
      <c r="DI30" s="8">
        <f t="shared" si="48"/>
        <v>0</v>
      </c>
      <c r="DJ30" s="8">
        <f t="shared" si="49"/>
        <v>0</v>
      </c>
      <c r="DK30" s="8">
        <f t="shared" si="50"/>
        <v>0</v>
      </c>
      <c r="DL30" s="8">
        <f t="shared" si="51"/>
        <v>0</v>
      </c>
      <c r="DM30" s="8">
        <f t="shared" si="52"/>
        <v>0</v>
      </c>
      <c r="DN30" s="8">
        <f t="shared" si="53"/>
        <v>0</v>
      </c>
      <c r="DO30" s="177"/>
      <c r="DP30" s="141" t="s">
        <v>417</v>
      </c>
      <c r="DQ30" s="141" t="s">
        <v>417</v>
      </c>
      <c r="DR30" s="141"/>
      <c r="DS30" s="141" t="s">
        <v>417</v>
      </c>
      <c r="DT30" s="141"/>
      <c r="DU30" s="141"/>
      <c r="DV30" s="141"/>
      <c r="DW30" s="141"/>
      <c r="DX30" s="141"/>
      <c r="DY30" s="141"/>
      <c r="DZ30" s="141"/>
      <c r="EA30" s="141"/>
      <c r="EB30" s="141"/>
      <c r="EC30" s="141"/>
      <c r="ED30" s="141"/>
      <c r="EE30" s="141"/>
      <c r="EF30" s="141"/>
      <c r="EG30" s="141"/>
      <c r="EH30" s="141"/>
      <c r="EI30" s="141"/>
      <c r="EJ30" s="142"/>
      <c r="EK30" s="180"/>
    </row>
    <row r="31" spans="2:141" x14ac:dyDescent="0.25">
      <c r="B31" s="69" t="str">
        <f>IF(Profession="","",IF(HLOOKUP(Profession,Skills!$DO$3:$EK$126,ROW(D31)-2,FALSE)="","",HLOOKUP(Profession,Skills!$DO$3:$EK$126,ROW(D31)-2,FALSE)))</f>
        <v>x</v>
      </c>
      <c r="C31" s="32"/>
      <c r="D31" s="35" t="s">
        <v>73</v>
      </c>
      <c r="E31" s="35" t="str">
        <f t="shared" si="62"/>
        <v>Combat Expertise</v>
      </c>
      <c r="F31" s="164"/>
      <c r="G31" s="33">
        <f t="shared" ca="1" si="65"/>
        <v>0</v>
      </c>
      <c r="H31" s="33">
        <f ca="1">SUM(O31:(OFFSET(O31,0,Level)))</f>
        <v>0</v>
      </c>
      <c r="I31" s="33">
        <f ca="1">IF(Level=0,"",VLOOKUP(H31,RankBonus,2,FALSE))</f>
        <v>-25</v>
      </c>
      <c r="J31" s="33">
        <f>IF(OR(M31="",M31="-"),0,VLOOKUP(MID(M31,1,2),StatBonuses,2,FALSE)+VLOOKUP(MID(M31,4,2),StatBonuses,2,FALSE)+VLOOKUP(MID(M31,7,2),StatBonuses,2,FALSE))</f>
        <v>0</v>
      </c>
      <c r="K31" s="33">
        <f t="shared" ca="1" si="64"/>
        <v>0</v>
      </c>
      <c r="L31" s="168"/>
      <c r="M31" s="33" t="str">
        <f>IF(D31="","",VLOOKUP(D31,DPCosts,2,FALSE))</f>
        <v>-</v>
      </c>
      <c r="N31" s="33" t="str">
        <f>IF(OR(D31="", Profession=""),"",VLOOKUP(D31,DPCosts,MATCH(Profession,Professions,0)+2,FALSE))</f>
        <v>1/2</v>
      </c>
      <c r="O31" s="131"/>
      <c r="P31" s="168"/>
      <c r="Q31" s="168"/>
      <c r="R31" s="168"/>
      <c r="S31" s="168"/>
      <c r="T31" s="168"/>
      <c r="U31" s="164"/>
      <c r="V31" s="164"/>
      <c r="W31" s="164"/>
      <c r="X31" s="164"/>
      <c r="Y31" s="164"/>
      <c r="Z31" s="164"/>
      <c r="AA31" s="164"/>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8"/>
      <c r="BK31" s="168"/>
      <c r="BL31" s="168"/>
      <c r="BM31" s="173"/>
      <c r="BO31" s="27" t="str">
        <f t="shared" si="2"/>
        <v>1</v>
      </c>
      <c r="BP31" s="8" t="str">
        <f t="shared" si="3"/>
        <v>2</v>
      </c>
      <c r="BQ31" s="8">
        <f t="shared" si="10"/>
        <v>0</v>
      </c>
      <c r="BR31" s="8">
        <f t="shared" si="11"/>
        <v>0</v>
      </c>
      <c r="BS31" s="8">
        <f t="shared" si="12"/>
        <v>0</v>
      </c>
      <c r="BT31" s="8">
        <f t="shared" si="13"/>
        <v>0</v>
      </c>
      <c r="BU31" s="8">
        <f t="shared" si="14"/>
        <v>0</v>
      </c>
      <c r="BV31" s="8">
        <f t="shared" si="15"/>
        <v>0</v>
      </c>
      <c r="BW31" s="8">
        <f t="shared" si="16"/>
        <v>0</v>
      </c>
      <c r="BX31" s="8">
        <f t="shared" si="17"/>
        <v>0</v>
      </c>
      <c r="BY31" s="8">
        <f t="shared" si="18"/>
        <v>0</v>
      </c>
      <c r="BZ31" s="8">
        <f t="shared" si="19"/>
        <v>0</v>
      </c>
      <c r="CA31" s="8">
        <f t="shared" si="20"/>
        <v>0</v>
      </c>
      <c r="CB31" s="8">
        <f t="shared" si="21"/>
        <v>0</v>
      </c>
      <c r="CC31" s="8">
        <f t="shared" si="22"/>
        <v>0</v>
      </c>
      <c r="CD31" s="8">
        <f t="shared" si="23"/>
        <v>0</v>
      </c>
      <c r="CE31" s="8">
        <f t="shared" si="24"/>
        <v>0</v>
      </c>
      <c r="CF31" s="8">
        <f t="shared" si="25"/>
        <v>0</v>
      </c>
      <c r="CG31" s="8">
        <f t="shared" si="26"/>
        <v>0</v>
      </c>
      <c r="CH31" s="8">
        <f t="shared" si="27"/>
        <v>0</v>
      </c>
      <c r="CI31" s="8">
        <f t="shared" si="28"/>
        <v>0</v>
      </c>
      <c r="CJ31" s="8">
        <f t="shared" ref="CJ31:DN31" si="66">IF(AI31=0,0,IF(AI31=1,INT($BO31),$BO31+$BP31*(AI31-1)))</f>
        <v>0</v>
      </c>
      <c r="CK31" s="8">
        <f t="shared" si="66"/>
        <v>0</v>
      </c>
      <c r="CL31" s="8">
        <f t="shared" si="66"/>
        <v>0</v>
      </c>
      <c r="CM31" s="8">
        <f t="shared" si="66"/>
        <v>0</v>
      </c>
      <c r="CN31" s="8">
        <f t="shared" si="66"/>
        <v>0</v>
      </c>
      <c r="CO31" s="8">
        <f t="shared" si="66"/>
        <v>0</v>
      </c>
      <c r="CP31" s="8">
        <f t="shared" si="66"/>
        <v>0</v>
      </c>
      <c r="CQ31" s="8">
        <f t="shared" si="66"/>
        <v>0</v>
      </c>
      <c r="CR31" s="8">
        <f t="shared" si="66"/>
        <v>0</v>
      </c>
      <c r="CS31" s="8">
        <f t="shared" si="66"/>
        <v>0</v>
      </c>
      <c r="CT31" s="8">
        <f t="shared" si="66"/>
        <v>0</v>
      </c>
      <c r="CU31" s="8">
        <f t="shared" si="66"/>
        <v>0</v>
      </c>
      <c r="CV31" s="8">
        <f t="shared" si="66"/>
        <v>0</v>
      </c>
      <c r="CW31" s="8">
        <f t="shared" si="66"/>
        <v>0</v>
      </c>
      <c r="CX31" s="8">
        <f t="shared" si="66"/>
        <v>0</v>
      </c>
      <c r="CY31" s="8">
        <f t="shared" si="66"/>
        <v>0</v>
      </c>
      <c r="CZ31" s="8">
        <f t="shared" si="66"/>
        <v>0</v>
      </c>
      <c r="DA31" s="8">
        <f t="shared" si="66"/>
        <v>0</v>
      </c>
      <c r="DB31" s="8">
        <f t="shared" si="66"/>
        <v>0</v>
      </c>
      <c r="DC31" s="8">
        <f t="shared" si="66"/>
        <v>0</v>
      </c>
      <c r="DD31" s="8">
        <f t="shared" si="66"/>
        <v>0</v>
      </c>
      <c r="DE31" s="8">
        <f t="shared" si="66"/>
        <v>0</v>
      </c>
      <c r="DF31" s="8">
        <f t="shared" si="66"/>
        <v>0</v>
      </c>
      <c r="DG31" s="8">
        <f t="shared" si="66"/>
        <v>0</v>
      </c>
      <c r="DH31" s="8">
        <f t="shared" si="66"/>
        <v>0</v>
      </c>
      <c r="DI31" s="8">
        <f t="shared" si="66"/>
        <v>0</v>
      </c>
      <c r="DJ31" s="8">
        <f t="shared" si="66"/>
        <v>0</v>
      </c>
      <c r="DK31" s="8">
        <f t="shared" si="66"/>
        <v>0</v>
      </c>
      <c r="DL31" s="8">
        <f t="shared" si="66"/>
        <v>0</v>
      </c>
      <c r="DM31" s="8">
        <f t="shared" si="66"/>
        <v>0</v>
      </c>
      <c r="DN31" s="8">
        <f t="shared" si="66"/>
        <v>0</v>
      </c>
      <c r="DO31" s="177"/>
      <c r="DP31" s="141" t="s">
        <v>417</v>
      </c>
      <c r="DQ31" s="141" t="s">
        <v>417</v>
      </c>
      <c r="DR31" s="141"/>
      <c r="DS31" s="141" t="s">
        <v>417</v>
      </c>
      <c r="DT31" s="141"/>
      <c r="DU31" s="141"/>
      <c r="DV31" s="141"/>
      <c r="DW31" s="141"/>
      <c r="DX31" s="141"/>
      <c r="DY31" s="141"/>
      <c r="DZ31" s="141"/>
      <c r="EA31" s="141"/>
      <c r="EB31" s="141"/>
      <c r="EC31" s="141"/>
      <c r="ED31" s="141"/>
      <c r="EE31" s="141"/>
      <c r="EF31" s="141"/>
      <c r="EG31" s="141"/>
      <c r="EH31" s="141"/>
      <c r="EI31" s="141"/>
      <c r="EJ31" s="142"/>
      <c r="EK31" s="180"/>
    </row>
    <row r="32" spans="2:141" x14ac:dyDescent="0.25">
      <c r="B32" s="69" t="str">
        <f>IF(Profession="","",IF(HLOOKUP(Profession,Skills!$DO$3:$EK$126,ROW(D32)-2,FALSE)="","",HLOOKUP(Profession,Skills!$DO$3:$EK$126,ROW(D32)-2,FALSE)))</f>
        <v>x</v>
      </c>
      <c r="C32" s="32"/>
      <c r="D32" s="35" t="s">
        <v>73</v>
      </c>
      <c r="E32" s="35" t="str">
        <f t="shared" si="62"/>
        <v>Combat Expertise</v>
      </c>
      <c r="F32" s="164"/>
      <c r="G32" s="33">
        <f t="shared" ca="1" si="65"/>
        <v>0</v>
      </c>
      <c r="H32" s="33">
        <f ca="1">SUM(O32:(OFFSET(O32,0,Level)))</f>
        <v>0</v>
      </c>
      <c r="I32" s="33">
        <f t="shared" ca="1" si="63"/>
        <v>-25</v>
      </c>
      <c r="J32" s="33">
        <f t="shared" si="7"/>
        <v>0</v>
      </c>
      <c r="K32" s="33">
        <f t="shared" ca="1" si="64"/>
        <v>0</v>
      </c>
      <c r="L32" s="168"/>
      <c r="M32" s="33" t="str">
        <f t="shared" si="9"/>
        <v>-</v>
      </c>
      <c r="N32" s="33" t="str">
        <f t="shared" si="54"/>
        <v>1/2</v>
      </c>
      <c r="O32" s="131"/>
      <c r="P32" s="168"/>
      <c r="Q32" s="168"/>
      <c r="R32" s="168"/>
      <c r="S32" s="168"/>
      <c r="T32" s="168"/>
      <c r="U32" s="164"/>
      <c r="V32" s="164"/>
      <c r="W32" s="164"/>
      <c r="X32" s="164"/>
      <c r="Y32" s="164"/>
      <c r="Z32" s="164"/>
      <c r="AA32" s="164"/>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8"/>
      <c r="BG32" s="168"/>
      <c r="BH32" s="168"/>
      <c r="BI32" s="168"/>
      <c r="BJ32" s="168"/>
      <c r="BK32" s="168"/>
      <c r="BL32" s="168"/>
      <c r="BM32" s="173"/>
      <c r="BO32" s="27" t="str">
        <f t="shared" si="2"/>
        <v>1</v>
      </c>
      <c r="BP32" s="8" t="str">
        <f t="shared" si="3"/>
        <v>2</v>
      </c>
      <c r="BQ32" s="8">
        <f t="shared" si="10"/>
        <v>0</v>
      </c>
      <c r="BR32" s="8">
        <f t="shared" si="11"/>
        <v>0</v>
      </c>
      <c r="BS32" s="8">
        <f t="shared" si="12"/>
        <v>0</v>
      </c>
      <c r="BT32" s="8">
        <f t="shared" si="13"/>
        <v>0</v>
      </c>
      <c r="BU32" s="8">
        <f t="shared" si="14"/>
        <v>0</v>
      </c>
      <c r="BV32" s="8">
        <f t="shared" si="15"/>
        <v>0</v>
      </c>
      <c r="BW32" s="8">
        <f t="shared" si="16"/>
        <v>0</v>
      </c>
      <c r="BX32" s="8">
        <f t="shared" si="17"/>
        <v>0</v>
      </c>
      <c r="BY32" s="8">
        <f t="shared" si="18"/>
        <v>0</v>
      </c>
      <c r="BZ32" s="8">
        <f t="shared" si="19"/>
        <v>0</v>
      </c>
      <c r="CA32" s="8">
        <f t="shared" si="20"/>
        <v>0</v>
      </c>
      <c r="CB32" s="8">
        <f t="shared" si="21"/>
        <v>0</v>
      </c>
      <c r="CC32" s="8">
        <f t="shared" si="22"/>
        <v>0</v>
      </c>
      <c r="CD32" s="8">
        <f t="shared" si="23"/>
        <v>0</v>
      </c>
      <c r="CE32" s="8">
        <f t="shared" si="24"/>
        <v>0</v>
      </c>
      <c r="CF32" s="8">
        <f t="shared" si="25"/>
        <v>0</v>
      </c>
      <c r="CG32" s="8">
        <f t="shared" si="26"/>
        <v>0</v>
      </c>
      <c r="CH32" s="8">
        <f t="shared" si="27"/>
        <v>0</v>
      </c>
      <c r="CI32" s="8">
        <f t="shared" si="28"/>
        <v>0</v>
      </c>
      <c r="CJ32" s="8">
        <f t="shared" si="61"/>
        <v>0</v>
      </c>
      <c r="CK32" s="8">
        <f t="shared" si="61"/>
        <v>0</v>
      </c>
      <c r="CL32" s="8">
        <f t="shared" si="61"/>
        <v>0</v>
      </c>
      <c r="CM32" s="8">
        <f t="shared" si="61"/>
        <v>0</v>
      </c>
      <c r="CN32" s="8">
        <f t="shared" si="61"/>
        <v>0</v>
      </c>
      <c r="CO32" s="8">
        <f t="shared" si="61"/>
        <v>0</v>
      </c>
      <c r="CP32" s="8">
        <f t="shared" si="61"/>
        <v>0</v>
      </c>
      <c r="CQ32" s="8">
        <f t="shared" si="30"/>
        <v>0</v>
      </c>
      <c r="CR32" s="8">
        <f t="shared" si="31"/>
        <v>0</v>
      </c>
      <c r="CS32" s="8">
        <f t="shared" si="32"/>
        <v>0</v>
      </c>
      <c r="CT32" s="8">
        <f t="shared" si="33"/>
        <v>0</v>
      </c>
      <c r="CU32" s="8">
        <f t="shared" si="34"/>
        <v>0</v>
      </c>
      <c r="CV32" s="8">
        <f t="shared" si="35"/>
        <v>0</v>
      </c>
      <c r="CW32" s="8">
        <f t="shared" si="36"/>
        <v>0</v>
      </c>
      <c r="CX32" s="8">
        <f t="shared" si="37"/>
        <v>0</v>
      </c>
      <c r="CY32" s="8">
        <f t="shared" si="38"/>
        <v>0</v>
      </c>
      <c r="CZ32" s="8">
        <f t="shared" si="39"/>
        <v>0</v>
      </c>
      <c r="DA32" s="8">
        <f t="shared" si="40"/>
        <v>0</v>
      </c>
      <c r="DB32" s="8">
        <f t="shared" si="41"/>
        <v>0</v>
      </c>
      <c r="DC32" s="8">
        <f t="shared" si="42"/>
        <v>0</v>
      </c>
      <c r="DD32" s="8">
        <f t="shared" si="43"/>
        <v>0</v>
      </c>
      <c r="DE32" s="8">
        <f t="shared" si="44"/>
        <v>0</v>
      </c>
      <c r="DF32" s="8">
        <f t="shared" si="45"/>
        <v>0</v>
      </c>
      <c r="DG32" s="8">
        <f t="shared" si="46"/>
        <v>0</v>
      </c>
      <c r="DH32" s="8">
        <f t="shared" si="47"/>
        <v>0</v>
      </c>
      <c r="DI32" s="8">
        <f t="shared" si="48"/>
        <v>0</v>
      </c>
      <c r="DJ32" s="8">
        <f t="shared" si="49"/>
        <v>0</v>
      </c>
      <c r="DK32" s="8">
        <f t="shared" si="50"/>
        <v>0</v>
      </c>
      <c r="DL32" s="8">
        <f t="shared" si="51"/>
        <v>0</v>
      </c>
      <c r="DM32" s="8">
        <f t="shared" si="52"/>
        <v>0</v>
      </c>
      <c r="DN32" s="8">
        <f t="shared" si="53"/>
        <v>0</v>
      </c>
      <c r="DO32" s="177"/>
      <c r="DP32" s="141" t="s">
        <v>417</v>
      </c>
      <c r="DQ32" s="141" t="s">
        <v>417</v>
      </c>
      <c r="DR32" s="141"/>
      <c r="DS32" s="141" t="s">
        <v>417</v>
      </c>
      <c r="DT32" s="141"/>
      <c r="DU32" s="141"/>
      <c r="DV32" s="141"/>
      <c r="DW32" s="141"/>
      <c r="DX32" s="141"/>
      <c r="DY32" s="141"/>
      <c r="DZ32" s="141"/>
      <c r="EA32" s="141"/>
      <c r="EB32" s="141"/>
      <c r="EC32" s="141"/>
      <c r="ED32" s="141"/>
      <c r="EE32" s="141"/>
      <c r="EF32" s="141"/>
      <c r="EG32" s="141"/>
      <c r="EH32" s="141"/>
      <c r="EI32" s="141"/>
      <c r="EJ32" s="142"/>
      <c r="EK32" s="180"/>
    </row>
    <row r="33" spans="2:141" x14ac:dyDescent="0.25">
      <c r="B33" s="69" t="str">
        <f>IF(Profession="","",IF(HLOOKUP(Profession,Skills!$DO$3:$EK$126,ROW(D33)-2,FALSE)="","",HLOOKUP(Profession,Skills!$DO$3:$EK$126,ROW(D33)-2,FALSE)))</f>
        <v>x</v>
      </c>
      <c r="C33" s="32"/>
      <c r="D33" s="35" t="s">
        <v>73</v>
      </c>
      <c r="E33" s="35" t="str">
        <f t="shared" si="62"/>
        <v>Combat Expertise</v>
      </c>
      <c r="F33" s="164"/>
      <c r="G33" s="33">
        <f t="shared" ca="1" si="65"/>
        <v>0</v>
      </c>
      <c r="H33" s="33">
        <f ca="1">SUM(O33:(OFFSET(O33,0,Level)))</f>
        <v>0</v>
      </c>
      <c r="I33" s="33">
        <f ca="1">IF(Level=0,"",VLOOKUP(H33,RankBonus,2,FALSE))</f>
        <v>-25</v>
      </c>
      <c r="J33" s="33">
        <f>IF(OR(M33="",M33="-"),0,VLOOKUP(MID(M33,1,2),StatBonuses,2,FALSE)+VLOOKUP(MID(M33,4,2),StatBonuses,2,FALSE)+VLOOKUP(MID(M33,7,2),StatBonuses,2,FALSE))</f>
        <v>0</v>
      </c>
      <c r="K33" s="33">
        <f t="shared" ca="1" si="64"/>
        <v>0</v>
      </c>
      <c r="L33" s="168"/>
      <c r="M33" s="33" t="str">
        <f>IF(D33="","",VLOOKUP(D33,DPCosts,2,FALSE))</f>
        <v>-</v>
      </c>
      <c r="N33" s="33" t="str">
        <f>IF(OR(D33="", Profession=""),"",VLOOKUP(D33,DPCosts,MATCH(Profession,Professions,0)+2,FALSE))</f>
        <v>1/2</v>
      </c>
      <c r="O33" s="131"/>
      <c r="P33" s="168"/>
      <c r="Q33" s="168"/>
      <c r="R33" s="168"/>
      <c r="S33" s="168"/>
      <c r="T33" s="168"/>
      <c r="U33" s="164"/>
      <c r="V33" s="164"/>
      <c r="W33" s="164"/>
      <c r="X33" s="164"/>
      <c r="Y33" s="164"/>
      <c r="Z33" s="164"/>
      <c r="AA33" s="164"/>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73"/>
      <c r="BO33" s="27" t="str">
        <f t="shared" si="2"/>
        <v>1</v>
      </c>
      <c r="BP33" s="8" t="str">
        <f t="shared" si="3"/>
        <v>2</v>
      </c>
      <c r="BQ33" s="8">
        <f t="shared" si="10"/>
        <v>0</v>
      </c>
      <c r="BR33" s="8">
        <f t="shared" si="11"/>
        <v>0</v>
      </c>
      <c r="BS33" s="8">
        <f t="shared" si="12"/>
        <v>0</v>
      </c>
      <c r="BT33" s="8">
        <f t="shared" si="13"/>
        <v>0</v>
      </c>
      <c r="BU33" s="8">
        <f t="shared" si="14"/>
        <v>0</v>
      </c>
      <c r="BV33" s="8">
        <f t="shared" si="15"/>
        <v>0</v>
      </c>
      <c r="BW33" s="8">
        <f t="shared" si="16"/>
        <v>0</v>
      </c>
      <c r="BX33" s="8">
        <f t="shared" si="17"/>
        <v>0</v>
      </c>
      <c r="BY33" s="8">
        <f t="shared" si="18"/>
        <v>0</v>
      </c>
      <c r="BZ33" s="8">
        <f t="shared" si="19"/>
        <v>0</v>
      </c>
      <c r="CA33" s="8">
        <f t="shared" si="20"/>
        <v>0</v>
      </c>
      <c r="CB33" s="8">
        <f t="shared" si="21"/>
        <v>0</v>
      </c>
      <c r="CC33" s="8">
        <f t="shared" si="22"/>
        <v>0</v>
      </c>
      <c r="CD33" s="8">
        <f t="shared" si="23"/>
        <v>0</v>
      </c>
      <c r="CE33" s="8">
        <f t="shared" si="24"/>
        <v>0</v>
      </c>
      <c r="CF33" s="8">
        <f t="shared" si="25"/>
        <v>0</v>
      </c>
      <c r="CG33" s="8">
        <f t="shared" si="26"/>
        <v>0</v>
      </c>
      <c r="CH33" s="8">
        <f t="shared" si="27"/>
        <v>0</v>
      </c>
      <c r="CI33" s="8">
        <f t="shared" si="28"/>
        <v>0</v>
      </c>
      <c r="CJ33" s="8">
        <f t="shared" si="61"/>
        <v>0</v>
      </c>
      <c r="CK33" s="8">
        <f t="shared" si="61"/>
        <v>0</v>
      </c>
      <c r="CL33" s="8">
        <f t="shared" si="61"/>
        <v>0</v>
      </c>
      <c r="CM33" s="8">
        <f t="shared" si="61"/>
        <v>0</v>
      </c>
      <c r="CN33" s="8">
        <f t="shared" si="61"/>
        <v>0</v>
      </c>
      <c r="CO33" s="8">
        <f t="shared" si="61"/>
        <v>0</v>
      </c>
      <c r="CP33" s="8">
        <f t="shared" si="61"/>
        <v>0</v>
      </c>
      <c r="CQ33" s="8">
        <f t="shared" si="30"/>
        <v>0</v>
      </c>
      <c r="CR33" s="8">
        <f t="shared" si="31"/>
        <v>0</v>
      </c>
      <c r="CS33" s="8">
        <f t="shared" si="32"/>
        <v>0</v>
      </c>
      <c r="CT33" s="8">
        <f t="shared" si="33"/>
        <v>0</v>
      </c>
      <c r="CU33" s="8">
        <f t="shared" si="34"/>
        <v>0</v>
      </c>
      <c r="CV33" s="8">
        <f t="shared" si="35"/>
        <v>0</v>
      </c>
      <c r="CW33" s="8">
        <f t="shared" si="36"/>
        <v>0</v>
      </c>
      <c r="CX33" s="8">
        <f t="shared" si="37"/>
        <v>0</v>
      </c>
      <c r="CY33" s="8">
        <f t="shared" si="38"/>
        <v>0</v>
      </c>
      <c r="CZ33" s="8">
        <f t="shared" si="39"/>
        <v>0</v>
      </c>
      <c r="DA33" s="8">
        <f t="shared" si="40"/>
        <v>0</v>
      </c>
      <c r="DB33" s="8">
        <f t="shared" si="41"/>
        <v>0</v>
      </c>
      <c r="DC33" s="8">
        <f t="shared" si="42"/>
        <v>0</v>
      </c>
      <c r="DD33" s="8">
        <f t="shared" si="43"/>
        <v>0</v>
      </c>
      <c r="DE33" s="8">
        <f t="shared" si="44"/>
        <v>0</v>
      </c>
      <c r="DF33" s="8">
        <f t="shared" si="45"/>
        <v>0</v>
      </c>
      <c r="DG33" s="8">
        <f t="shared" si="46"/>
        <v>0</v>
      </c>
      <c r="DH33" s="8">
        <f t="shared" si="47"/>
        <v>0</v>
      </c>
      <c r="DI33" s="8">
        <f t="shared" si="48"/>
        <v>0</v>
      </c>
      <c r="DJ33" s="8">
        <f t="shared" si="49"/>
        <v>0</v>
      </c>
      <c r="DK33" s="8">
        <f t="shared" si="50"/>
        <v>0</v>
      </c>
      <c r="DL33" s="8">
        <f t="shared" si="51"/>
        <v>0</v>
      </c>
      <c r="DM33" s="8">
        <f t="shared" si="52"/>
        <v>0</v>
      </c>
      <c r="DN33" s="8">
        <f t="shared" si="53"/>
        <v>0</v>
      </c>
      <c r="DO33" s="177"/>
      <c r="DP33" s="141" t="s">
        <v>417</v>
      </c>
      <c r="DQ33" s="141" t="s">
        <v>417</v>
      </c>
      <c r="DR33" s="141"/>
      <c r="DS33" s="141" t="s">
        <v>417</v>
      </c>
      <c r="DT33" s="141"/>
      <c r="DU33" s="141"/>
      <c r="DV33" s="141"/>
      <c r="DW33" s="141"/>
      <c r="DX33" s="141"/>
      <c r="DY33" s="141"/>
      <c r="DZ33" s="141"/>
      <c r="EA33" s="141"/>
      <c r="EB33" s="141"/>
      <c r="EC33" s="141"/>
      <c r="ED33" s="141"/>
      <c r="EE33" s="141"/>
      <c r="EF33" s="141"/>
      <c r="EG33" s="141"/>
      <c r="EH33" s="141"/>
      <c r="EI33" s="141"/>
      <c r="EJ33" s="142"/>
      <c r="EK33" s="180"/>
    </row>
    <row r="34" spans="2:141" x14ac:dyDescent="0.25">
      <c r="B34" s="69" t="str">
        <f>IF(Profession="","",IF(HLOOKUP(Profession,Skills!$DO$3:$EK$126,ROW(D34)-2,FALSE)="","",HLOOKUP(Profession,Skills!$DO$3:$EK$126,ROW(D34)-2,FALSE)))</f>
        <v>x</v>
      </c>
      <c r="C34" s="32"/>
      <c r="D34" s="35" t="s">
        <v>73</v>
      </c>
      <c r="E34" s="35" t="str">
        <f t="shared" si="62"/>
        <v>Combat Expertise</v>
      </c>
      <c r="F34" s="164"/>
      <c r="G34" s="33">
        <f t="shared" ca="1" si="65"/>
        <v>0</v>
      </c>
      <c r="H34" s="33">
        <f ca="1">SUM(O34:(OFFSET(O34,0,Level)))</f>
        <v>0</v>
      </c>
      <c r="I34" s="33">
        <f t="shared" ca="1" si="63"/>
        <v>-25</v>
      </c>
      <c r="J34" s="33">
        <f t="shared" si="7"/>
        <v>0</v>
      </c>
      <c r="K34" s="33">
        <f t="shared" ca="1" si="64"/>
        <v>0</v>
      </c>
      <c r="L34" s="168"/>
      <c r="M34" s="33" t="str">
        <f t="shared" si="9"/>
        <v>-</v>
      </c>
      <c r="N34" s="33" t="str">
        <f t="shared" si="54"/>
        <v>1/2</v>
      </c>
      <c r="O34" s="131"/>
      <c r="P34" s="168"/>
      <c r="Q34" s="168"/>
      <c r="R34" s="168"/>
      <c r="S34" s="168"/>
      <c r="T34" s="168"/>
      <c r="U34" s="164"/>
      <c r="V34" s="164"/>
      <c r="W34" s="164"/>
      <c r="X34" s="164"/>
      <c r="Y34" s="164"/>
      <c r="Z34" s="164"/>
      <c r="AA34" s="164"/>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73"/>
      <c r="BO34" s="27" t="str">
        <f t="shared" si="2"/>
        <v>1</v>
      </c>
      <c r="BP34" s="8" t="str">
        <f t="shared" si="3"/>
        <v>2</v>
      </c>
      <c r="BQ34" s="8">
        <f t="shared" si="10"/>
        <v>0</v>
      </c>
      <c r="BR34" s="8">
        <f t="shared" si="11"/>
        <v>0</v>
      </c>
      <c r="BS34" s="8">
        <f t="shared" si="12"/>
        <v>0</v>
      </c>
      <c r="BT34" s="8">
        <f t="shared" si="13"/>
        <v>0</v>
      </c>
      <c r="BU34" s="8">
        <f t="shared" si="14"/>
        <v>0</v>
      </c>
      <c r="BV34" s="8">
        <f t="shared" si="15"/>
        <v>0</v>
      </c>
      <c r="BW34" s="8">
        <f t="shared" si="16"/>
        <v>0</v>
      </c>
      <c r="BX34" s="8">
        <f t="shared" si="17"/>
        <v>0</v>
      </c>
      <c r="BY34" s="8">
        <f t="shared" si="18"/>
        <v>0</v>
      </c>
      <c r="BZ34" s="8">
        <f t="shared" si="19"/>
        <v>0</v>
      </c>
      <c r="CA34" s="8">
        <f t="shared" si="20"/>
        <v>0</v>
      </c>
      <c r="CB34" s="8">
        <f t="shared" si="21"/>
        <v>0</v>
      </c>
      <c r="CC34" s="8">
        <f t="shared" si="22"/>
        <v>0</v>
      </c>
      <c r="CD34" s="8">
        <f t="shared" si="23"/>
        <v>0</v>
      </c>
      <c r="CE34" s="8">
        <f t="shared" si="24"/>
        <v>0</v>
      </c>
      <c r="CF34" s="8">
        <f t="shared" si="25"/>
        <v>0</v>
      </c>
      <c r="CG34" s="8">
        <f t="shared" si="26"/>
        <v>0</v>
      </c>
      <c r="CH34" s="8">
        <f t="shared" si="27"/>
        <v>0</v>
      </c>
      <c r="CI34" s="8">
        <f t="shared" si="28"/>
        <v>0</v>
      </c>
      <c r="CJ34" s="8">
        <f t="shared" si="61"/>
        <v>0</v>
      </c>
      <c r="CK34" s="8">
        <f t="shared" si="61"/>
        <v>0</v>
      </c>
      <c r="CL34" s="8">
        <f t="shared" si="61"/>
        <v>0</v>
      </c>
      <c r="CM34" s="8">
        <f t="shared" si="61"/>
        <v>0</v>
      </c>
      <c r="CN34" s="8">
        <f t="shared" si="61"/>
        <v>0</v>
      </c>
      <c r="CO34" s="8">
        <f t="shared" si="61"/>
        <v>0</v>
      </c>
      <c r="CP34" s="8">
        <f t="shared" si="61"/>
        <v>0</v>
      </c>
      <c r="CQ34" s="8">
        <f t="shared" si="30"/>
        <v>0</v>
      </c>
      <c r="CR34" s="8">
        <f t="shared" si="31"/>
        <v>0</v>
      </c>
      <c r="CS34" s="8">
        <f t="shared" si="32"/>
        <v>0</v>
      </c>
      <c r="CT34" s="8">
        <f t="shared" si="33"/>
        <v>0</v>
      </c>
      <c r="CU34" s="8">
        <f t="shared" si="34"/>
        <v>0</v>
      </c>
      <c r="CV34" s="8">
        <f t="shared" si="35"/>
        <v>0</v>
      </c>
      <c r="CW34" s="8">
        <f t="shared" si="36"/>
        <v>0</v>
      </c>
      <c r="CX34" s="8">
        <f t="shared" si="37"/>
        <v>0</v>
      </c>
      <c r="CY34" s="8">
        <f t="shared" si="38"/>
        <v>0</v>
      </c>
      <c r="CZ34" s="8">
        <f t="shared" si="39"/>
        <v>0</v>
      </c>
      <c r="DA34" s="8">
        <f t="shared" si="40"/>
        <v>0</v>
      </c>
      <c r="DB34" s="8">
        <f t="shared" si="41"/>
        <v>0</v>
      </c>
      <c r="DC34" s="8">
        <f t="shared" si="42"/>
        <v>0</v>
      </c>
      <c r="DD34" s="8">
        <f t="shared" si="43"/>
        <v>0</v>
      </c>
      <c r="DE34" s="8">
        <f t="shared" si="44"/>
        <v>0</v>
      </c>
      <c r="DF34" s="8">
        <f t="shared" si="45"/>
        <v>0</v>
      </c>
      <c r="DG34" s="8">
        <f t="shared" si="46"/>
        <v>0</v>
      </c>
      <c r="DH34" s="8">
        <f t="shared" si="47"/>
        <v>0</v>
      </c>
      <c r="DI34" s="8">
        <f t="shared" si="48"/>
        <v>0</v>
      </c>
      <c r="DJ34" s="8">
        <f t="shared" si="49"/>
        <v>0</v>
      </c>
      <c r="DK34" s="8">
        <f t="shared" si="50"/>
        <v>0</v>
      </c>
      <c r="DL34" s="8">
        <f t="shared" si="51"/>
        <v>0</v>
      </c>
      <c r="DM34" s="8">
        <f t="shared" si="52"/>
        <v>0</v>
      </c>
      <c r="DN34" s="8">
        <f t="shared" si="53"/>
        <v>0</v>
      </c>
      <c r="DO34" s="177"/>
      <c r="DP34" s="141" t="s">
        <v>417</v>
      </c>
      <c r="DQ34" s="141" t="s">
        <v>417</v>
      </c>
      <c r="DR34" s="141"/>
      <c r="DS34" s="141" t="s">
        <v>417</v>
      </c>
      <c r="DT34" s="141"/>
      <c r="DU34" s="141"/>
      <c r="DV34" s="141"/>
      <c r="DW34" s="141"/>
      <c r="DX34" s="141"/>
      <c r="DY34" s="141"/>
      <c r="DZ34" s="141"/>
      <c r="EA34" s="141"/>
      <c r="EB34" s="141"/>
      <c r="EC34" s="141"/>
      <c r="ED34" s="141"/>
      <c r="EE34" s="141"/>
      <c r="EF34" s="141"/>
      <c r="EG34" s="141"/>
      <c r="EH34" s="141"/>
      <c r="EI34" s="141"/>
      <c r="EJ34" s="142"/>
      <c r="EK34" s="180"/>
    </row>
    <row r="35" spans="2:141" ht="15.75" thickBot="1" x14ac:dyDescent="0.3">
      <c r="B35" s="69" t="str">
        <f>IF(Profession="","",IF(HLOOKUP(Profession,Skills!$DO$3:$EK$126,ROW(D35)-2,FALSE)="","",HLOOKUP(Profession,Skills!$DO$3:$EK$126,ROW(D35)-2,FALSE)))</f>
        <v>x</v>
      </c>
      <c r="C35" s="32"/>
      <c r="D35" s="35" t="s">
        <v>74</v>
      </c>
      <c r="E35" s="35" t="str">
        <f t="shared" si="62"/>
        <v>Shield*</v>
      </c>
      <c r="F35" s="52"/>
      <c r="G35" s="33">
        <f ca="1">IF(OR(I35+J35+K35+L35&lt;=0),0,I35+J35+K35+L35)</f>
        <v>0</v>
      </c>
      <c r="H35" s="33">
        <f ca="1">SUM(O35:(OFFSET(O35,0,Level)))</f>
        <v>0</v>
      </c>
      <c r="I35" s="33">
        <f t="shared" ca="1" si="63"/>
        <v>-25</v>
      </c>
      <c r="J35" s="33">
        <f t="shared" si="7"/>
        <v>0</v>
      </c>
      <c r="K35" s="33">
        <f t="shared" ca="1" si="64"/>
        <v>0</v>
      </c>
      <c r="L35" s="168"/>
      <c r="M35" s="33" t="str">
        <f t="shared" si="9"/>
        <v>Ag/St/St</v>
      </c>
      <c r="N35" s="33" t="str">
        <f t="shared" si="54"/>
        <v>1/2</v>
      </c>
      <c r="O35" s="131"/>
      <c r="P35" s="168"/>
      <c r="Q35" s="168"/>
      <c r="R35" s="168"/>
      <c r="S35" s="168"/>
      <c r="T35" s="168"/>
      <c r="U35" s="164"/>
      <c r="V35" s="164"/>
      <c r="W35" s="164"/>
      <c r="X35" s="164"/>
      <c r="Y35" s="164"/>
      <c r="Z35" s="164"/>
      <c r="AA35" s="164"/>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73"/>
      <c r="BO35" s="27" t="str">
        <f t="shared" si="2"/>
        <v>1</v>
      </c>
      <c r="BP35" s="8" t="str">
        <f t="shared" si="3"/>
        <v>2</v>
      </c>
      <c r="BQ35" s="8">
        <f t="shared" si="10"/>
        <v>0</v>
      </c>
      <c r="BR35" s="8">
        <f t="shared" si="11"/>
        <v>0</v>
      </c>
      <c r="BS35" s="8">
        <f t="shared" si="12"/>
        <v>0</v>
      </c>
      <c r="BT35" s="8">
        <f t="shared" si="13"/>
        <v>0</v>
      </c>
      <c r="BU35" s="8">
        <f t="shared" si="14"/>
        <v>0</v>
      </c>
      <c r="BV35" s="8">
        <f t="shared" si="15"/>
        <v>0</v>
      </c>
      <c r="BW35" s="8">
        <f t="shared" si="16"/>
        <v>0</v>
      </c>
      <c r="BX35" s="8">
        <f t="shared" si="17"/>
        <v>0</v>
      </c>
      <c r="BY35" s="8">
        <f t="shared" si="18"/>
        <v>0</v>
      </c>
      <c r="BZ35" s="8">
        <f t="shared" si="19"/>
        <v>0</v>
      </c>
      <c r="CA35" s="8">
        <f t="shared" si="20"/>
        <v>0</v>
      </c>
      <c r="CB35" s="8">
        <f t="shared" si="21"/>
        <v>0</v>
      </c>
      <c r="CC35" s="8">
        <f t="shared" si="22"/>
        <v>0</v>
      </c>
      <c r="CD35" s="8">
        <f t="shared" si="23"/>
        <v>0</v>
      </c>
      <c r="CE35" s="8">
        <f t="shared" si="24"/>
        <v>0</v>
      </c>
      <c r="CF35" s="8">
        <f t="shared" si="25"/>
        <v>0</v>
      </c>
      <c r="CG35" s="8">
        <f t="shared" si="26"/>
        <v>0</v>
      </c>
      <c r="CH35" s="8">
        <f t="shared" si="27"/>
        <v>0</v>
      </c>
      <c r="CI35" s="8">
        <f t="shared" si="28"/>
        <v>0</v>
      </c>
      <c r="CJ35" s="8">
        <f t="shared" si="61"/>
        <v>0</v>
      </c>
      <c r="CK35" s="8">
        <f t="shared" si="61"/>
        <v>0</v>
      </c>
      <c r="CL35" s="8">
        <f t="shared" si="61"/>
        <v>0</v>
      </c>
      <c r="CM35" s="8">
        <f t="shared" si="61"/>
        <v>0</v>
      </c>
      <c r="CN35" s="8">
        <f t="shared" si="61"/>
        <v>0</v>
      </c>
      <c r="CO35" s="8">
        <f t="shared" si="61"/>
        <v>0</v>
      </c>
      <c r="CP35" s="8">
        <f t="shared" si="61"/>
        <v>0</v>
      </c>
      <c r="CQ35" s="8">
        <f t="shared" si="30"/>
        <v>0</v>
      </c>
      <c r="CR35" s="8">
        <f t="shared" si="31"/>
        <v>0</v>
      </c>
      <c r="CS35" s="8">
        <f t="shared" si="32"/>
        <v>0</v>
      </c>
      <c r="CT35" s="8">
        <f t="shared" si="33"/>
        <v>0</v>
      </c>
      <c r="CU35" s="8">
        <f t="shared" si="34"/>
        <v>0</v>
      </c>
      <c r="CV35" s="8">
        <f t="shared" si="35"/>
        <v>0</v>
      </c>
      <c r="CW35" s="8">
        <f t="shared" si="36"/>
        <v>0</v>
      </c>
      <c r="CX35" s="8">
        <f t="shared" si="37"/>
        <v>0</v>
      </c>
      <c r="CY35" s="8">
        <f t="shared" si="38"/>
        <v>0</v>
      </c>
      <c r="CZ35" s="8">
        <f t="shared" si="39"/>
        <v>0</v>
      </c>
      <c r="DA35" s="8">
        <f t="shared" si="40"/>
        <v>0</v>
      </c>
      <c r="DB35" s="8">
        <f t="shared" si="41"/>
        <v>0</v>
      </c>
      <c r="DC35" s="8">
        <f t="shared" si="42"/>
        <v>0</v>
      </c>
      <c r="DD35" s="8">
        <f t="shared" si="43"/>
        <v>0</v>
      </c>
      <c r="DE35" s="8">
        <f t="shared" si="44"/>
        <v>0</v>
      </c>
      <c r="DF35" s="8">
        <f t="shared" si="45"/>
        <v>0</v>
      </c>
      <c r="DG35" s="8">
        <f t="shared" si="46"/>
        <v>0</v>
      </c>
      <c r="DH35" s="8">
        <f t="shared" si="47"/>
        <v>0</v>
      </c>
      <c r="DI35" s="8">
        <f t="shared" si="48"/>
        <v>0</v>
      </c>
      <c r="DJ35" s="8">
        <f t="shared" si="49"/>
        <v>0</v>
      </c>
      <c r="DK35" s="8">
        <f t="shared" si="50"/>
        <v>0</v>
      </c>
      <c r="DL35" s="8">
        <f t="shared" si="51"/>
        <v>0</v>
      </c>
      <c r="DM35" s="8">
        <f t="shared" si="52"/>
        <v>0</v>
      </c>
      <c r="DN35" s="8">
        <f t="shared" si="53"/>
        <v>0</v>
      </c>
      <c r="DO35" s="177"/>
      <c r="DP35" s="141" t="s">
        <v>417</v>
      </c>
      <c r="DQ35" s="141"/>
      <c r="DR35" s="141"/>
      <c r="DS35" s="141"/>
      <c r="DT35" s="141"/>
      <c r="DU35" s="141"/>
      <c r="DV35" s="141"/>
      <c r="DW35" s="141" t="s">
        <v>417</v>
      </c>
      <c r="DX35" s="141" t="s">
        <v>417</v>
      </c>
      <c r="DY35" s="141"/>
      <c r="DZ35" s="141"/>
      <c r="EA35" s="141"/>
      <c r="EB35" s="141"/>
      <c r="EC35" s="141"/>
      <c r="ED35" s="141"/>
      <c r="EE35" s="141"/>
      <c r="EF35" s="141"/>
      <c r="EG35" s="141"/>
      <c r="EH35" s="141"/>
      <c r="EI35" s="141"/>
      <c r="EJ35" s="142"/>
      <c r="EK35" s="180"/>
    </row>
    <row r="36" spans="2:141" x14ac:dyDescent="0.25">
      <c r="B36" s="69" t="str">
        <f>IF(Profession="","",IF(HLOOKUP(Profession,Skills!$DO$3:$EK$126,ROW(D36)-2,FALSE)="","",HLOOKUP(Profession,Skills!$DO$3:$EK$126,ROW(D36)-2,FALSE)))</f>
        <v>x</v>
      </c>
      <c r="C36" s="70">
        <v>1</v>
      </c>
      <c r="D36" s="35" t="s">
        <v>75</v>
      </c>
      <c r="E36" s="35" t="str">
        <f ca="1">OFFSET(Character!$U$17,C36-1,0)</f>
        <v>Melee</v>
      </c>
      <c r="F36" s="164"/>
      <c r="G36" s="33">
        <f t="shared" ref="G36:G43" ca="1" si="67">SUM(I36:L36)+BN36</f>
        <v>-25</v>
      </c>
      <c r="H36" s="33">
        <f ca="1">SUM(O36:(OFFSET(O36,0,Level)))</f>
        <v>0</v>
      </c>
      <c r="I36" s="33">
        <f t="shared" ca="1" si="63"/>
        <v>-25</v>
      </c>
      <c r="J36" s="33">
        <f t="shared" ca="1" si="7"/>
        <v>0</v>
      </c>
      <c r="K36" s="33">
        <f t="shared" ca="1" si="64"/>
        <v>0</v>
      </c>
      <c r="L36" s="168"/>
      <c r="M36" s="33" t="str">
        <f t="shared" ref="M36:M43" ca="1" si="68">IF(MID(E36,1,LEN(E36)-2)="Combat Training","",VLOOKUP(E36,CombatTraining,2,FALSE))</f>
        <v>Ag/St/St</v>
      </c>
      <c r="N36" s="33" t="str">
        <f t="shared" si="54"/>
        <v>1/2</v>
      </c>
      <c r="O36" s="131" t="str">
        <f t="shared" ref="O36:O43" ca="1" si="69">IF(E36&lt;&gt;"Unarmed","",IF(OR(D36="",Culture=""),"",VLOOKUP("Unarmed Combat",CultureRanks,MATCH(Culture,CultureList,0)+1,FALSE)))</f>
        <v/>
      </c>
      <c r="P36" s="168"/>
      <c r="Q36" s="168"/>
      <c r="R36" s="168"/>
      <c r="S36" s="168"/>
      <c r="T36" s="168"/>
      <c r="U36" s="164"/>
      <c r="V36" s="164"/>
      <c r="W36" s="164"/>
      <c r="X36" s="164"/>
      <c r="Y36" s="164"/>
      <c r="Z36" s="164"/>
      <c r="AA36" s="164"/>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73"/>
      <c r="BN36" s="115">
        <f ca="1">IF(E36="Missile",Character!$L$67,IF(E36="Thrown",Character!$L$67,IF(E36="Melee",0,IF(E36="Unarmed",0,IF(E36="Directed Spell",0,IF(E36="Siege Weapon",0,IF(E36="Firearm",0,IF(E36="Energy Weapon",0))))))))</f>
        <v>0</v>
      </c>
      <c r="BO36" s="27" t="str">
        <f t="shared" ref="BO36:BO67" si="70">IF(N36="","",MID(N36,1,FIND("/",N36)-1))</f>
        <v>1</v>
      </c>
      <c r="BP36" s="8" t="str">
        <f t="shared" ref="BP36:BP67" si="71">IF(N36="","",MID(N36,FIND("/",N36)+1,LEN(N36)))</f>
        <v>2</v>
      </c>
      <c r="BQ36" s="8">
        <f t="shared" ref="BQ36:BQ67" si="72">IF(P36=0,0,IF(P36=1,INT($BO36),$BO36+$BP36*(P36-1)))</f>
        <v>0</v>
      </c>
      <c r="BR36" s="8">
        <f t="shared" ref="BR36:BR67" si="73">IF(Q36=0,0,IF(Q36=1,INT($BO36),$BO36+$BP36*(Q36-1)))</f>
        <v>0</v>
      </c>
      <c r="BS36" s="8">
        <f t="shared" ref="BS36:BS67" si="74">IF(R36=0,0,IF(R36=1,INT($BO36),$BO36+$BP36*(R36-1)))</f>
        <v>0</v>
      </c>
      <c r="BT36" s="8">
        <f t="shared" ref="BT36:BT67" si="75">IF(S36=0,0,IF(S36=1,INT($BO36),$BO36+$BP36*(S36-1)))</f>
        <v>0</v>
      </c>
      <c r="BU36" s="8">
        <f t="shared" ref="BU36:BU67" si="76">IF(T36=0,0,IF(T36=1,INT($BO36),$BO36+$BP36*(T36-1)))</f>
        <v>0</v>
      </c>
      <c r="BV36" s="8">
        <f t="shared" ref="BV36:BV67" si="77">IF(U36=0,0,IF(U36=1,INT($BO36),$BO36+$BP36*(U36-1)))</f>
        <v>0</v>
      </c>
      <c r="BW36" s="8">
        <f t="shared" ref="BW36:BW67" si="78">IF(V36=0,0,IF(V36=1,INT($BO36),$BO36+$BP36*(V36-1)))</f>
        <v>0</v>
      </c>
      <c r="BX36" s="8">
        <f t="shared" ref="BX36:BX67" si="79">IF(W36=0,0,IF(W36=1,INT($BO36),$BO36+$BP36*(W36-1)))</f>
        <v>0</v>
      </c>
      <c r="BY36" s="8">
        <f t="shared" ref="BY36:BY67" si="80">IF(X36=0,0,IF(X36=1,INT($BO36),$BO36+$BP36*(X36-1)))</f>
        <v>0</v>
      </c>
      <c r="BZ36" s="8">
        <f t="shared" ref="BZ36:BZ67" si="81">IF(Y36=0,0,IF(Y36=1,INT($BO36),$BO36+$BP36*(Y36-1)))</f>
        <v>0</v>
      </c>
      <c r="CA36" s="8">
        <f t="shared" ref="CA36:CA67" si="82">IF(Z36=0,0,IF(Z36=1,INT($BO36),$BO36+$BP36*(Z36-1)))</f>
        <v>0</v>
      </c>
      <c r="CB36" s="8">
        <f t="shared" ref="CB36:CB67" si="83">IF(AA36=0,0,IF(AA36=1,INT($BO36),$BO36+$BP36*(AA36-1)))</f>
        <v>0</v>
      </c>
      <c r="CC36" s="8">
        <f t="shared" ref="CC36:CC67" si="84">IF(AB36=0,0,IF(AB36=1,INT($BO36),$BO36+$BP36*(AB36-1)))</f>
        <v>0</v>
      </c>
      <c r="CD36" s="8">
        <f t="shared" ref="CD36:CD67" si="85">IF(AC36=0,0,IF(AC36=1,INT($BO36),$BO36+$BP36*(AC36-1)))</f>
        <v>0</v>
      </c>
      <c r="CE36" s="8">
        <f t="shared" ref="CE36:CE67" si="86">IF(AD36=0,0,IF(AD36=1,INT($BO36),$BO36+$BP36*(AD36-1)))</f>
        <v>0</v>
      </c>
      <c r="CF36" s="8">
        <f t="shared" ref="CF36:CF67" si="87">IF(AE36=0,0,IF(AE36=1,INT($BO36),$BO36+$BP36*(AE36-1)))</f>
        <v>0</v>
      </c>
      <c r="CG36" s="8">
        <f t="shared" ref="CG36:CG67" si="88">IF(AF36=0,0,IF(AF36=1,INT($BO36),$BO36+$BP36*(AF36-1)))</f>
        <v>0</v>
      </c>
      <c r="CH36" s="8">
        <f t="shared" ref="CH36:CH67" si="89">IF(AG36=0,0,IF(AG36=1,INT($BO36),$BO36+$BP36*(AG36-1)))</f>
        <v>0</v>
      </c>
      <c r="CI36" s="8">
        <f t="shared" ref="CI36:CI67" si="90">IF(AH36=0,0,IF(AH36=1,INT($BO36),$BO36+$BP36*(AH36-1)))</f>
        <v>0</v>
      </c>
      <c r="CJ36" s="8">
        <f t="shared" si="61"/>
        <v>0</v>
      </c>
      <c r="CK36" s="8">
        <f t="shared" si="61"/>
        <v>0</v>
      </c>
      <c r="CL36" s="8">
        <f t="shared" si="61"/>
        <v>0</v>
      </c>
      <c r="CM36" s="8">
        <f t="shared" si="61"/>
        <v>0</v>
      </c>
      <c r="CN36" s="8">
        <f t="shared" si="61"/>
        <v>0</v>
      </c>
      <c r="CO36" s="8">
        <f t="shared" si="61"/>
        <v>0</v>
      </c>
      <c r="CP36" s="8">
        <f t="shared" si="61"/>
        <v>0</v>
      </c>
      <c r="CQ36" s="8">
        <f t="shared" si="30"/>
        <v>0</v>
      </c>
      <c r="CR36" s="8">
        <f t="shared" si="31"/>
        <v>0</v>
      </c>
      <c r="CS36" s="8">
        <f t="shared" si="32"/>
        <v>0</v>
      </c>
      <c r="CT36" s="8">
        <f t="shared" si="33"/>
        <v>0</v>
      </c>
      <c r="CU36" s="8">
        <f t="shared" si="34"/>
        <v>0</v>
      </c>
      <c r="CV36" s="8">
        <f t="shared" si="35"/>
        <v>0</v>
      </c>
      <c r="CW36" s="8">
        <f t="shared" si="36"/>
        <v>0</v>
      </c>
      <c r="CX36" s="8">
        <f t="shared" si="37"/>
        <v>0</v>
      </c>
      <c r="CY36" s="8">
        <f t="shared" si="38"/>
        <v>0</v>
      </c>
      <c r="CZ36" s="8">
        <f t="shared" si="39"/>
        <v>0</v>
      </c>
      <c r="DA36" s="8">
        <f t="shared" si="40"/>
        <v>0</v>
      </c>
      <c r="DB36" s="8">
        <f t="shared" si="41"/>
        <v>0</v>
      </c>
      <c r="DC36" s="8">
        <f t="shared" si="42"/>
        <v>0</v>
      </c>
      <c r="DD36" s="8">
        <f t="shared" si="43"/>
        <v>0</v>
      </c>
      <c r="DE36" s="8">
        <f t="shared" si="44"/>
        <v>0</v>
      </c>
      <c r="DF36" s="8">
        <f t="shared" si="45"/>
        <v>0</v>
      </c>
      <c r="DG36" s="8">
        <f t="shared" si="46"/>
        <v>0</v>
      </c>
      <c r="DH36" s="8">
        <f t="shared" si="47"/>
        <v>0</v>
      </c>
      <c r="DI36" s="8">
        <f t="shared" si="48"/>
        <v>0</v>
      </c>
      <c r="DJ36" s="8">
        <f t="shared" si="49"/>
        <v>0</v>
      </c>
      <c r="DK36" s="8">
        <f t="shared" si="50"/>
        <v>0</v>
      </c>
      <c r="DL36" s="8">
        <f t="shared" si="51"/>
        <v>0</v>
      </c>
      <c r="DM36" s="8">
        <f t="shared" si="52"/>
        <v>0</v>
      </c>
      <c r="DN36" s="8">
        <f t="shared" si="53"/>
        <v>0</v>
      </c>
      <c r="DO36" s="177"/>
      <c r="DP36" s="141" t="s">
        <v>417</v>
      </c>
      <c r="DQ36" s="141" t="s">
        <v>417</v>
      </c>
      <c r="DR36" s="141" t="s">
        <v>417</v>
      </c>
      <c r="DS36" s="141" t="s">
        <v>417</v>
      </c>
      <c r="DT36" s="141"/>
      <c r="DU36" s="141"/>
      <c r="DV36" s="141" t="s">
        <v>417</v>
      </c>
      <c r="DW36" s="141" t="s">
        <v>417</v>
      </c>
      <c r="DX36" s="141" t="s">
        <v>417</v>
      </c>
      <c r="DY36" s="141" t="s">
        <v>417</v>
      </c>
      <c r="DZ36" s="141" t="s">
        <v>417</v>
      </c>
      <c r="EA36" s="141"/>
      <c r="EB36" s="141" t="s">
        <v>417</v>
      </c>
      <c r="EC36" s="141"/>
      <c r="ED36" s="141" t="s">
        <v>417</v>
      </c>
      <c r="EE36" s="141"/>
      <c r="EF36" s="141" t="s">
        <v>417</v>
      </c>
      <c r="EG36" s="141"/>
      <c r="EH36" s="141"/>
      <c r="EI36" s="141"/>
      <c r="EJ36" s="142"/>
      <c r="EK36" s="180"/>
    </row>
    <row r="37" spans="2:141" x14ac:dyDescent="0.25">
      <c r="B37" s="69" t="str">
        <f>IF(Profession="","",IF(HLOOKUP(Profession,Skills!$DO$3:$EK$126,ROW(D37)-2,FALSE)="","",HLOOKUP(Profession,Skills!$DO$3:$EK$126,ROW(D37)-2,FALSE)))</f>
        <v>x</v>
      </c>
      <c r="C37" s="70">
        <v>1</v>
      </c>
      <c r="D37" s="35" t="s">
        <v>75</v>
      </c>
      <c r="E37" s="35" t="str">
        <f ca="1">OFFSET(Character!$U$17,C37-1,0)</f>
        <v>Melee</v>
      </c>
      <c r="F37" s="164"/>
      <c r="G37" s="33">
        <f t="shared" ca="1" si="67"/>
        <v>-25</v>
      </c>
      <c r="H37" s="33">
        <f ca="1">SUM(O37:(OFFSET(O37,0,Level)))</f>
        <v>0</v>
      </c>
      <c r="I37" s="33">
        <f t="shared" ca="1" si="63"/>
        <v>-25</v>
      </c>
      <c r="J37" s="33">
        <f t="shared" ca="1" si="7"/>
        <v>0</v>
      </c>
      <c r="K37" s="33">
        <f t="shared" ca="1" si="64"/>
        <v>0</v>
      </c>
      <c r="L37" s="168"/>
      <c r="M37" s="33" t="str">
        <f t="shared" ca="1" si="68"/>
        <v>Ag/St/St</v>
      </c>
      <c r="N37" s="33" t="str">
        <f t="shared" si="54"/>
        <v>1/2</v>
      </c>
      <c r="O37" s="131" t="str">
        <f t="shared" ca="1" si="69"/>
        <v/>
      </c>
      <c r="P37" s="168"/>
      <c r="Q37" s="168"/>
      <c r="R37" s="168"/>
      <c r="S37" s="168"/>
      <c r="T37" s="168"/>
      <c r="U37" s="164"/>
      <c r="V37" s="164"/>
      <c r="W37" s="164"/>
      <c r="X37" s="164"/>
      <c r="Y37" s="164"/>
      <c r="Z37" s="164"/>
      <c r="AA37" s="164"/>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173"/>
      <c r="BN37" s="110">
        <f ca="1">IF(E37="Missile",Character!$L$67,IF(E37="Thrown",Character!$L$67,IF(E37="Melee",0,IF(E37="Unarmed",0,IF(E37="Directed Spell",0,IF(E37="Siege Weapon",0,IF(E37="Firearm",0,IF(E37="Energy Weapon",0))))))))</f>
        <v>0</v>
      </c>
      <c r="BO37" s="27" t="str">
        <f t="shared" si="70"/>
        <v>1</v>
      </c>
      <c r="BP37" s="8" t="str">
        <f t="shared" si="71"/>
        <v>2</v>
      </c>
      <c r="BQ37" s="8">
        <f t="shared" si="72"/>
        <v>0</v>
      </c>
      <c r="BR37" s="8">
        <f t="shared" si="73"/>
        <v>0</v>
      </c>
      <c r="BS37" s="8">
        <f t="shared" si="74"/>
        <v>0</v>
      </c>
      <c r="BT37" s="8">
        <f t="shared" si="75"/>
        <v>0</v>
      </c>
      <c r="BU37" s="8">
        <f t="shared" si="76"/>
        <v>0</v>
      </c>
      <c r="BV37" s="8">
        <f t="shared" si="77"/>
        <v>0</v>
      </c>
      <c r="BW37" s="8">
        <f t="shared" si="78"/>
        <v>0</v>
      </c>
      <c r="BX37" s="8">
        <f t="shared" si="79"/>
        <v>0</v>
      </c>
      <c r="BY37" s="8">
        <f t="shared" si="80"/>
        <v>0</v>
      </c>
      <c r="BZ37" s="8">
        <f t="shared" si="81"/>
        <v>0</v>
      </c>
      <c r="CA37" s="8">
        <f t="shared" si="82"/>
        <v>0</v>
      </c>
      <c r="CB37" s="8">
        <f t="shared" si="83"/>
        <v>0</v>
      </c>
      <c r="CC37" s="8">
        <f t="shared" si="84"/>
        <v>0</v>
      </c>
      <c r="CD37" s="8">
        <f t="shared" si="85"/>
        <v>0</v>
      </c>
      <c r="CE37" s="8">
        <f t="shared" si="86"/>
        <v>0</v>
      </c>
      <c r="CF37" s="8">
        <f t="shared" si="87"/>
        <v>0</v>
      </c>
      <c r="CG37" s="8">
        <f t="shared" si="88"/>
        <v>0</v>
      </c>
      <c r="CH37" s="8">
        <f t="shared" si="89"/>
        <v>0</v>
      </c>
      <c r="CI37" s="8">
        <f t="shared" si="90"/>
        <v>0</v>
      </c>
      <c r="CJ37" s="8">
        <f t="shared" si="61"/>
        <v>0</v>
      </c>
      <c r="CK37" s="8">
        <f t="shared" si="61"/>
        <v>0</v>
      </c>
      <c r="CL37" s="8">
        <f t="shared" si="61"/>
        <v>0</v>
      </c>
      <c r="CM37" s="8">
        <f t="shared" si="61"/>
        <v>0</v>
      </c>
      <c r="CN37" s="8">
        <f t="shared" si="61"/>
        <v>0</v>
      </c>
      <c r="CO37" s="8">
        <f t="shared" si="61"/>
        <v>0</v>
      </c>
      <c r="CP37" s="8">
        <f t="shared" si="61"/>
        <v>0</v>
      </c>
      <c r="CQ37" s="8">
        <f t="shared" si="30"/>
        <v>0</v>
      </c>
      <c r="CR37" s="8">
        <f t="shared" si="31"/>
        <v>0</v>
      </c>
      <c r="CS37" s="8">
        <f t="shared" si="32"/>
        <v>0</v>
      </c>
      <c r="CT37" s="8">
        <f t="shared" si="33"/>
        <v>0</v>
      </c>
      <c r="CU37" s="8">
        <f t="shared" si="34"/>
        <v>0</v>
      </c>
      <c r="CV37" s="8">
        <f t="shared" si="35"/>
        <v>0</v>
      </c>
      <c r="CW37" s="8">
        <f t="shared" si="36"/>
        <v>0</v>
      </c>
      <c r="CX37" s="8">
        <f t="shared" si="37"/>
        <v>0</v>
      </c>
      <c r="CY37" s="8">
        <f t="shared" si="38"/>
        <v>0</v>
      </c>
      <c r="CZ37" s="8">
        <f t="shared" si="39"/>
        <v>0</v>
      </c>
      <c r="DA37" s="8">
        <f t="shared" si="40"/>
        <v>0</v>
      </c>
      <c r="DB37" s="8">
        <f t="shared" si="41"/>
        <v>0</v>
      </c>
      <c r="DC37" s="8">
        <f t="shared" si="42"/>
        <v>0</v>
      </c>
      <c r="DD37" s="8">
        <f t="shared" si="43"/>
        <v>0</v>
      </c>
      <c r="DE37" s="8">
        <f t="shared" si="44"/>
        <v>0</v>
      </c>
      <c r="DF37" s="8">
        <f t="shared" si="45"/>
        <v>0</v>
      </c>
      <c r="DG37" s="8">
        <f t="shared" si="46"/>
        <v>0</v>
      </c>
      <c r="DH37" s="8">
        <f t="shared" si="47"/>
        <v>0</v>
      </c>
      <c r="DI37" s="8">
        <f t="shared" si="48"/>
        <v>0</v>
      </c>
      <c r="DJ37" s="8">
        <f t="shared" si="49"/>
        <v>0</v>
      </c>
      <c r="DK37" s="8">
        <f t="shared" si="50"/>
        <v>0</v>
      </c>
      <c r="DL37" s="8">
        <f t="shared" si="51"/>
        <v>0</v>
      </c>
      <c r="DM37" s="8">
        <f t="shared" si="52"/>
        <v>0</v>
      </c>
      <c r="DN37" s="8">
        <f t="shared" si="53"/>
        <v>0</v>
      </c>
      <c r="DO37" s="177"/>
      <c r="DP37" s="141" t="s">
        <v>417</v>
      </c>
      <c r="DQ37" s="141" t="s">
        <v>417</v>
      </c>
      <c r="DR37" s="141" t="s">
        <v>417</v>
      </c>
      <c r="DS37" s="141" t="s">
        <v>417</v>
      </c>
      <c r="DT37" s="141"/>
      <c r="DU37" s="141"/>
      <c r="DV37" s="141" t="s">
        <v>417</v>
      </c>
      <c r="DW37" s="141" t="s">
        <v>417</v>
      </c>
      <c r="DX37" s="141" t="s">
        <v>417</v>
      </c>
      <c r="DY37" s="141" t="s">
        <v>417</v>
      </c>
      <c r="DZ37" s="141" t="s">
        <v>417</v>
      </c>
      <c r="EA37" s="141"/>
      <c r="EB37" s="141" t="s">
        <v>417</v>
      </c>
      <c r="EC37" s="141"/>
      <c r="ED37" s="141" t="s">
        <v>417</v>
      </c>
      <c r="EE37" s="141"/>
      <c r="EF37" s="141" t="s">
        <v>417</v>
      </c>
      <c r="EG37" s="141"/>
      <c r="EH37" s="141"/>
      <c r="EI37" s="141"/>
      <c r="EJ37" s="142"/>
      <c r="EK37" s="180"/>
    </row>
    <row r="38" spans="2:141" x14ac:dyDescent="0.25">
      <c r="B38" s="69" t="str">
        <f>IF(Profession="","",IF(HLOOKUP(Profession,Skills!$DO$3:$EK$126,ROW(D38)-2,FALSE)="","",HLOOKUP(Profession,Skills!$DO$3:$EK$126,ROW(D38)-2,FALSE)))</f>
        <v>x</v>
      </c>
      <c r="C38" s="70">
        <v>1</v>
      </c>
      <c r="D38" s="35" t="s">
        <v>75</v>
      </c>
      <c r="E38" s="35" t="str">
        <f ca="1">OFFSET(Character!$U$17,C38-1,0)</f>
        <v>Melee</v>
      </c>
      <c r="F38" s="164"/>
      <c r="G38" s="33">
        <f t="shared" ca="1" si="67"/>
        <v>-25</v>
      </c>
      <c r="H38" s="33">
        <f ca="1">SUM(O38:(OFFSET(O38,0,Level)))</f>
        <v>0</v>
      </c>
      <c r="I38" s="33">
        <f t="shared" ca="1" si="63"/>
        <v>-25</v>
      </c>
      <c r="J38" s="33">
        <f t="shared" ca="1" si="7"/>
        <v>0</v>
      </c>
      <c r="K38" s="33">
        <f t="shared" ca="1" si="64"/>
        <v>0</v>
      </c>
      <c r="L38" s="168"/>
      <c r="M38" s="33" t="str">
        <f t="shared" ca="1" si="68"/>
        <v>Ag/St/St</v>
      </c>
      <c r="N38" s="33" t="str">
        <f t="shared" si="54"/>
        <v>1/2</v>
      </c>
      <c r="O38" s="131" t="str">
        <f t="shared" ca="1" si="69"/>
        <v/>
      </c>
      <c r="P38" s="168"/>
      <c r="Q38" s="168"/>
      <c r="R38" s="168"/>
      <c r="S38" s="168"/>
      <c r="T38" s="168"/>
      <c r="U38" s="164"/>
      <c r="V38" s="164"/>
      <c r="W38" s="164"/>
      <c r="X38" s="164"/>
      <c r="Y38" s="164"/>
      <c r="Z38" s="164"/>
      <c r="AA38" s="164"/>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73"/>
      <c r="BN38" s="110">
        <f ca="1">IF(E38="Missile",Character!$L$67,IF(E38="Thrown",Character!$L$67,IF(E38="Melee",0,IF(E38="Unarmed",0,IF(E38="Directed Spell",0,IF(E38="Siege Weapon",0,IF(E38="Firearm",0,IF(E38="Energy Weapon",0))))))))</f>
        <v>0</v>
      </c>
      <c r="BO38" s="27" t="str">
        <f t="shared" si="70"/>
        <v>1</v>
      </c>
      <c r="BP38" s="8" t="str">
        <f t="shared" si="71"/>
        <v>2</v>
      </c>
      <c r="BQ38" s="8">
        <f t="shared" si="72"/>
        <v>0</v>
      </c>
      <c r="BR38" s="8">
        <f t="shared" si="73"/>
        <v>0</v>
      </c>
      <c r="BS38" s="8">
        <f t="shared" si="74"/>
        <v>0</v>
      </c>
      <c r="BT38" s="8">
        <f t="shared" si="75"/>
        <v>0</v>
      </c>
      <c r="BU38" s="8">
        <f t="shared" si="76"/>
        <v>0</v>
      </c>
      <c r="BV38" s="8">
        <f t="shared" si="77"/>
        <v>0</v>
      </c>
      <c r="BW38" s="8">
        <f t="shared" si="78"/>
        <v>0</v>
      </c>
      <c r="BX38" s="8">
        <f t="shared" si="79"/>
        <v>0</v>
      </c>
      <c r="BY38" s="8">
        <f t="shared" si="80"/>
        <v>0</v>
      </c>
      <c r="BZ38" s="8">
        <f t="shared" si="81"/>
        <v>0</v>
      </c>
      <c r="CA38" s="8">
        <f t="shared" si="82"/>
        <v>0</v>
      </c>
      <c r="CB38" s="8">
        <f t="shared" si="83"/>
        <v>0</v>
      </c>
      <c r="CC38" s="8">
        <f t="shared" si="84"/>
        <v>0</v>
      </c>
      <c r="CD38" s="8">
        <f t="shared" si="85"/>
        <v>0</v>
      </c>
      <c r="CE38" s="8">
        <f t="shared" si="86"/>
        <v>0</v>
      </c>
      <c r="CF38" s="8">
        <f t="shared" si="87"/>
        <v>0</v>
      </c>
      <c r="CG38" s="8">
        <f t="shared" si="88"/>
        <v>0</v>
      </c>
      <c r="CH38" s="8">
        <f t="shared" si="89"/>
        <v>0</v>
      </c>
      <c r="CI38" s="8">
        <f t="shared" si="90"/>
        <v>0</v>
      </c>
      <c r="CJ38" s="8">
        <f t="shared" si="61"/>
        <v>0</v>
      </c>
      <c r="CK38" s="8">
        <f t="shared" si="61"/>
        <v>0</v>
      </c>
      <c r="CL38" s="8">
        <f t="shared" si="61"/>
        <v>0</v>
      </c>
      <c r="CM38" s="8">
        <f t="shared" si="61"/>
        <v>0</v>
      </c>
      <c r="CN38" s="8">
        <f t="shared" si="61"/>
        <v>0</v>
      </c>
      <c r="CO38" s="8">
        <f t="shared" si="61"/>
        <v>0</v>
      </c>
      <c r="CP38" s="8">
        <f t="shared" si="61"/>
        <v>0</v>
      </c>
      <c r="CQ38" s="8">
        <f t="shared" si="30"/>
        <v>0</v>
      </c>
      <c r="CR38" s="8">
        <f t="shared" si="31"/>
        <v>0</v>
      </c>
      <c r="CS38" s="8">
        <f t="shared" si="32"/>
        <v>0</v>
      </c>
      <c r="CT38" s="8">
        <f t="shared" si="33"/>
        <v>0</v>
      </c>
      <c r="CU38" s="8">
        <f t="shared" si="34"/>
        <v>0</v>
      </c>
      <c r="CV38" s="8">
        <f t="shared" si="35"/>
        <v>0</v>
      </c>
      <c r="CW38" s="8">
        <f t="shared" si="36"/>
        <v>0</v>
      </c>
      <c r="CX38" s="8">
        <f t="shared" si="37"/>
        <v>0</v>
      </c>
      <c r="CY38" s="8">
        <f t="shared" si="38"/>
        <v>0</v>
      </c>
      <c r="CZ38" s="8">
        <f t="shared" si="39"/>
        <v>0</v>
      </c>
      <c r="DA38" s="8">
        <f t="shared" si="40"/>
        <v>0</v>
      </c>
      <c r="DB38" s="8">
        <f t="shared" si="41"/>
        <v>0</v>
      </c>
      <c r="DC38" s="8">
        <f t="shared" si="42"/>
        <v>0</v>
      </c>
      <c r="DD38" s="8">
        <f t="shared" si="43"/>
        <v>0</v>
      </c>
      <c r="DE38" s="8">
        <f t="shared" si="44"/>
        <v>0</v>
      </c>
      <c r="DF38" s="8">
        <f t="shared" si="45"/>
        <v>0</v>
      </c>
      <c r="DG38" s="8">
        <f t="shared" si="46"/>
        <v>0</v>
      </c>
      <c r="DH38" s="8">
        <f t="shared" si="47"/>
        <v>0</v>
      </c>
      <c r="DI38" s="8">
        <f t="shared" si="48"/>
        <v>0</v>
      </c>
      <c r="DJ38" s="8">
        <f t="shared" si="49"/>
        <v>0</v>
      </c>
      <c r="DK38" s="8">
        <f t="shared" si="50"/>
        <v>0</v>
      </c>
      <c r="DL38" s="8">
        <f t="shared" si="51"/>
        <v>0</v>
      </c>
      <c r="DM38" s="8">
        <f t="shared" si="52"/>
        <v>0</v>
      </c>
      <c r="DN38" s="8">
        <f t="shared" si="53"/>
        <v>0</v>
      </c>
      <c r="DO38" s="177"/>
      <c r="DP38" s="141" t="s">
        <v>417</v>
      </c>
      <c r="DQ38" s="141" t="s">
        <v>417</v>
      </c>
      <c r="DR38" s="141" t="s">
        <v>417</v>
      </c>
      <c r="DS38" s="141" t="s">
        <v>417</v>
      </c>
      <c r="DT38" s="141"/>
      <c r="DU38" s="141"/>
      <c r="DV38" s="141" t="s">
        <v>417</v>
      </c>
      <c r="DW38" s="141" t="s">
        <v>417</v>
      </c>
      <c r="DX38" s="141" t="s">
        <v>417</v>
      </c>
      <c r="DY38" s="141" t="s">
        <v>417</v>
      </c>
      <c r="DZ38" s="141" t="s">
        <v>417</v>
      </c>
      <c r="EA38" s="141"/>
      <c r="EB38" s="141" t="s">
        <v>417</v>
      </c>
      <c r="EC38" s="141"/>
      <c r="ED38" s="141" t="s">
        <v>417</v>
      </c>
      <c r="EE38" s="141"/>
      <c r="EF38" s="141" t="s">
        <v>417</v>
      </c>
      <c r="EG38" s="141"/>
      <c r="EH38" s="141"/>
      <c r="EI38" s="141"/>
      <c r="EJ38" s="142"/>
      <c r="EK38" s="180"/>
    </row>
    <row r="39" spans="2:141" x14ac:dyDescent="0.25">
      <c r="B39" s="69" t="str">
        <f>IF(Profession="","",IF(HLOOKUP(Profession,Skills!$DO$3:$EK$126,ROW(D39)-2,FALSE)="","",HLOOKUP(Profession,Skills!$DO$3:$EK$126,ROW(D39)-2,FALSE)))</f>
        <v>x</v>
      </c>
      <c r="C39" s="70">
        <v>2</v>
      </c>
      <c r="D39" s="35" t="s">
        <v>76</v>
      </c>
      <c r="E39" s="35" t="str">
        <f ca="1">OFFSET(Character!$U$17,C39-1,0)</f>
        <v>Missile</v>
      </c>
      <c r="F39" s="164"/>
      <c r="G39" s="33">
        <f t="shared" ca="1" si="67"/>
        <v>-25</v>
      </c>
      <c r="H39" s="33">
        <f ca="1">SUM(O39:(OFFSET(O39,0,Level)))</f>
        <v>0</v>
      </c>
      <c r="I39" s="33">
        <f t="shared" ca="1" si="63"/>
        <v>-25</v>
      </c>
      <c r="J39" s="33">
        <f t="shared" ca="1" si="7"/>
        <v>0</v>
      </c>
      <c r="K39" s="33">
        <f t="shared" ca="1" si="64"/>
        <v>0</v>
      </c>
      <c r="L39" s="168"/>
      <c r="M39" s="33" t="str">
        <f t="shared" ca="1" si="68"/>
        <v>Ag/Ag/St</v>
      </c>
      <c r="N39" s="33" t="str">
        <f t="shared" si="54"/>
        <v>2/3</v>
      </c>
      <c r="O39" s="131" t="str">
        <f t="shared" ca="1" si="69"/>
        <v/>
      </c>
      <c r="P39" s="168"/>
      <c r="Q39" s="168"/>
      <c r="R39" s="168"/>
      <c r="S39" s="168"/>
      <c r="T39" s="168"/>
      <c r="U39" s="164"/>
      <c r="V39" s="164"/>
      <c r="W39" s="164"/>
      <c r="X39" s="164"/>
      <c r="Y39" s="164"/>
      <c r="Z39" s="164"/>
      <c r="AA39" s="164"/>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73"/>
      <c r="BN39" s="110">
        <f ca="1">IF(E39="Missile",Character!$L$67,IF(E39="Thrown",Character!$L$67,IF(E39="Melee",0,IF(E39="Unarmed",0,IF(E39="Directed Spell",0,IF(E39="Siege Weapon",0,IF(E39="Firearm",0,IF(E39="Energy Weapon",0))))))))</f>
        <v>0</v>
      </c>
      <c r="BO39" s="27" t="str">
        <f t="shared" si="70"/>
        <v>2</v>
      </c>
      <c r="BP39" s="8" t="str">
        <f t="shared" si="71"/>
        <v>3</v>
      </c>
      <c r="BQ39" s="8">
        <f t="shared" si="72"/>
        <v>0</v>
      </c>
      <c r="BR39" s="8">
        <f t="shared" si="73"/>
        <v>0</v>
      </c>
      <c r="BS39" s="8">
        <f t="shared" si="74"/>
        <v>0</v>
      </c>
      <c r="BT39" s="8">
        <f t="shared" si="75"/>
        <v>0</v>
      </c>
      <c r="BU39" s="8">
        <f t="shared" si="76"/>
        <v>0</v>
      </c>
      <c r="BV39" s="8">
        <f t="shared" si="77"/>
        <v>0</v>
      </c>
      <c r="BW39" s="8">
        <f t="shared" si="78"/>
        <v>0</v>
      </c>
      <c r="BX39" s="8">
        <f t="shared" si="79"/>
        <v>0</v>
      </c>
      <c r="BY39" s="8">
        <f t="shared" si="80"/>
        <v>0</v>
      </c>
      <c r="BZ39" s="8">
        <f t="shared" si="81"/>
        <v>0</v>
      </c>
      <c r="CA39" s="8">
        <f t="shared" si="82"/>
        <v>0</v>
      </c>
      <c r="CB39" s="8">
        <f t="shared" si="83"/>
        <v>0</v>
      </c>
      <c r="CC39" s="8">
        <f t="shared" si="84"/>
        <v>0</v>
      </c>
      <c r="CD39" s="8">
        <f t="shared" si="85"/>
        <v>0</v>
      </c>
      <c r="CE39" s="8">
        <f t="shared" si="86"/>
        <v>0</v>
      </c>
      <c r="CF39" s="8">
        <f t="shared" si="87"/>
        <v>0</v>
      </c>
      <c r="CG39" s="8">
        <f t="shared" si="88"/>
        <v>0</v>
      </c>
      <c r="CH39" s="8">
        <f t="shared" si="89"/>
        <v>0</v>
      </c>
      <c r="CI39" s="8">
        <f t="shared" si="90"/>
        <v>0</v>
      </c>
      <c r="CJ39" s="8">
        <f t="shared" si="61"/>
        <v>0</v>
      </c>
      <c r="CK39" s="8">
        <f t="shared" si="61"/>
        <v>0</v>
      </c>
      <c r="CL39" s="8">
        <f t="shared" si="61"/>
        <v>0</v>
      </c>
      <c r="CM39" s="8">
        <f t="shared" si="61"/>
        <v>0</v>
      </c>
      <c r="CN39" s="8">
        <f t="shared" si="61"/>
        <v>0</v>
      </c>
      <c r="CO39" s="8">
        <f t="shared" si="61"/>
        <v>0</v>
      </c>
      <c r="CP39" s="8">
        <f t="shared" si="61"/>
        <v>0</v>
      </c>
      <c r="CQ39" s="8">
        <f t="shared" si="30"/>
        <v>0</v>
      </c>
      <c r="CR39" s="8">
        <f t="shared" si="31"/>
        <v>0</v>
      </c>
      <c r="CS39" s="8">
        <f t="shared" si="32"/>
        <v>0</v>
      </c>
      <c r="CT39" s="8">
        <f t="shared" si="33"/>
        <v>0</v>
      </c>
      <c r="CU39" s="8">
        <f t="shared" si="34"/>
        <v>0</v>
      </c>
      <c r="CV39" s="8">
        <f t="shared" si="35"/>
        <v>0</v>
      </c>
      <c r="CW39" s="8">
        <f t="shared" si="36"/>
        <v>0</v>
      </c>
      <c r="CX39" s="8">
        <f t="shared" si="37"/>
        <v>0</v>
      </c>
      <c r="CY39" s="8">
        <f t="shared" si="38"/>
        <v>0</v>
      </c>
      <c r="CZ39" s="8">
        <f t="shared" si="39"/>
        <v>0</v>
      </c>
      <c r="DA39" s="8">
        <f t="shared" si="40"/>
        <v>0</v>
      </c>
      <c r="DB39" s="8">
        <f t="shared" si="41"/>
        <v>0</v>
      </c>
      <c r="DC39" s="8">
        <f t="shared" si="42"/>
        <v>0</v>
      </c>
      <c r="DD39" s="8">
        <f t="shared" si="43"/>
        <v>0</v>
      </c>
      <c r="DE39" s="8">
        <f t="shared" si="44"/>
        <v>0</v>
      </c>
      <c r="DF39" s="8">
        <f t="shared" si="45"/>
        <v>0</v>
      </c>
      <c r="DG39" s="8">
        <f t="shared" si="46"/>
        <v>0</v>
      </c>
      <c r="DH39" s="8">
        <f t="shared" si="47"/>
        <v>0</v>
      </c>
      <c r="DI39" s="8">
        <f t="shared" si="48"/>
        <v>0</v>
      </c>
      <c r="DJ39" s="8">
        <f t="shared" si="49"/>
        <v>0</v>
      </c>
      <c r="DK39" s="8">
        <f t="shared" si="50"/>
        <v>0</v>
      </c>
      <c r="DL39" s="8">
        <f t="shared" si="51"/>
        <v>0</v>
      </c>
      <c r="DM39" s="8">
        <f t="shared" si="52"/>
        <v>0</v>
      </c>
      <c r="DN39" s="8">
        <f t="shared" si="53"/>
        <v>0</v>
      </c>
      <c r="DO39" s="177"/>
      <c r="DP39" s="141" t="s">
        <v>417</v>
      </c>
      <c r="DQ39" s="141" t="s">
        <v>417</v>
      </c>
      <c r="DR39" s="141" t="s">
        <v>417</v>
      </c>
      <c r="DS39" s="141" t="s">
        <v>417</v>
      </c>
      <c r="DT39" s="141"/>
      <c r="DU39" s="141"/>
      <c r="DV39" s="141" t="s">
        <v>417</v>
      </c>
      <c r="DW39" s="141" t="s">
        <v>417</v>
      </c>
      <c r="DX39" s="141" t="s">
        <v>417</v>
      </c>
      <c r="DY39" s="141" t="s">
        <v>417</v>
      </c>
      <c r="DZ39" s="141" t="s">
        <v>417</v>
      </c>
      <c r="EA39" s="141"/>
      <c r="EB39" s="141" t="s">
        <v>417</v>
      </c>
      <c r="EC39" s="141"/>
      <c r="ED39" s="141" t="s">
        <v>417</v>
      </c>
      <c r="EE39" s="141"/>
      <c r="EF39" s="141" t="s">
        <v>417</v>
      </c>
      <c r="EG39" s="141"/>
      <c r="EH39" s="141"/>
      <c r="EI39" s="141"/>
      <c r="EJ39" s="142"/>
      <c r="EK39" s="180"/>
    </row>
    <row r="40" spans="2:141" x14ac:dyDescent="0.25">
      <c r="B40" s="69" t="str">
        <f>IF(Profession="","",IF(HLOOKUP(Profession,Skills!$DO$3:$EK$126,ROW(D40)-2,FALSE)="","",HLOOKUP(Profession,Skills!$DO$3:$EK$126,ROW(D40)-2,FALSE)))</f>
        <v>x</v>
      </c>
      <c r="C40" s="70">
        <v>2</v>
      </c>
      <c r="D40" s="35" t="s">
        <v>76</v>
      </c>
      <c r="E40" s="35" t="str">
        <f ca="1">OFFSET(Character!$U$17,C40-1,0)</f>
        <v>Missile</v>
      </c>
      <c r="F40" s="164"/>
      <c r="G40" s="33">
        <f t="shared" ca="1" si="67"/>
        <v>-25</v>
      </c>
      <c r="H40" s="33">
        <f ca="1">SUM(O40:(OFFSET(O40,0,Level)))</f>
        <v>0</v>
      </c>
      <c r="I40" s="33">
        <f t="shared" ca="1" si="63"/>
        <v>-25</v>
      </c>
      <c r="J40" s="33">
        <f t="shared" ca="1" si="7"/>
        <v>0</v>
      </c>
      <c r="K40" s="33">
        <f t="shared" ca="1" si="64"/>
        <v>0</v>
      </c>
      <c r="L40" s="168"/>
      <c r="M40" s="33" t="str">
        <f t="shared" ca="1" si="68"/>
        <v>Ag/Ag/St</v>
      </c>
      <c r="N40" s="33" t="str">
        <f t="shared" si="54"/>
        <v>2/3</v>
      </c>
      <c r="O40" s="131" t="str">
        <f t="shared" ca="1" si="69"/>
        <v/>
      </c>
      <c r="P40" s="168"/>
      <c r="Q40" s="168"/>
      <c r="R40" s="168"/>
      <c r="S40" s="168"/>
      <c r="T40" s="168"/>
      <c r="U40" s="164"/>
      <c r="V40" s="164"/>
      <c r="W40" s="164"/>
      <c r="X40" s="164"/>
      <c r="Y40" s="164"/>
      <c r="Z40" s="164"/>
      <c r="AA40" s="164"/>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73"/>
      <c r="BN40" s="110">
        <f ca="1">IF(E40="Missile",Character!$L$67,IF(E40="Thrown",Character!$L$67,IF(E40="Melee",0,IF(E40="Unarmed",0,IF(E40="Directed Spell",0,IF(E40="Siege Weapon",0,IF(E40="Firearm",0,IF(E40="Energy Weapon",0))))))))</f>
        <v>0</v>
      </c>
      <c r="BO40" s="27" t="str">
        <f t="shared" si="70"/>
        <v>2</v>
      </c>
      <c r="BP40" s="8" t="str">
        <f t="shared" si="71"/>
        <v>3</v>
      </c>
      <c r="BQ40" s="8">
        <f t="shared" si="72"/>
        <v>0</v>
      </c>
      <c r="BR40" s="8">
        <f t="shared" si="73"/>
        <v>0</v>
      </c>
      <c r="BS40" s="8">
        <f t="shared" si="74"/>
        <v>0</v>
      </c>
      <c r="BT40" s="8">
        <f t="shared" si="75"/>
        <v>0</v>
      </c>
      <c r="BU40" s="8">
        <f t="shared" si="76"/>
        <v>0</v>
      </c>
      <c r="BV40" s="8">
        <f t="shared" si="77"/>
        <v>0</v>
      </c>
      <c r="BW40" s="8">
        <f t="shared" si="78"/>
        <v>0</v>
      </c>
      <c r="BX40" s="8">
        <f t="shared" si="79"/>
        <v>0</v>
      </c>
      <c r="BY40" s="8">
        <f t="shared" si="80"/>
        <v>0</v>
      </c>
      <c r="BZ40" s="8">
        <f t="shared" si="81"/>
        <v>0</v>
      </c>
      <c r="CA40" s="8">
        <f t="shared" si="82"/>
        <v>0</v>
      </c>
      <c r="CB40" s="8">
        <f t="shared" si="83"/>
        <v>0</v>
      </c>
      <c r="CC40" s="8">
        <f t="shared" si="84"/>
        <v>0</v>
      </c>
      <c r="CD40" s="8">
        <f t="shared" si="85"/>
        <v>0</v>
      </c>
      <c r="CE40" s="8">
        <f t="shared" si="86"/>
        <v>0</v>
      </c>
      <c r="CF40" s="8">
        <f t="shared" si="87"/>
        <v>0</v>
      </c>
      <c r="CG40" s="8">
        <f t="shared" si="88"/>
        <v>0</v>
      </c>
      <c r="CH40" s="8">
        <f t="shared" si="89"/>
        <v>0</v>
      </c>
      <c r="CI40" s="8">
        <f t="shared" si="90"/>
        <v>0</v>
      </c>
      <c r="CJ40" s="8">
        <f t="shared" si="61"/>
        <v>0</v>
      </c>
      <c r="CK40" s="8">
        <f t="shared" si="61"/>
        <v>0</v>
      </c>
      <c r="CL40" s="8">
        <f t="shared" si="61"/>
        <v>0</v>
      </c>
      <c r="CM40" s="8">
        <f t="shared" si="61"/>
        <v>0</v>
      </c>
      <c r="CN40" s="8">
        <f t="shared" si="61"/>
        <v>0</v>
      </c>
      <c r="CO40" s="8">
        <f t="shared" si="61"/>
        <v>0</v>
      </c>
      <c r="CP40" s="8">
        <f t="shared" si="61"/>
        <v>0</v>
      </c>
      <c r="CQ40" s="8">
        <f t="shared" si="30"/>
        <v>0</v>
      </c>
      <c r="CR40" s="8">
        <f t="shared" si="31"/>
        <v>0</v>
      </c>
      <c r="CS40" s="8">
        <f t="shared" si="32"/>
        <v>0</v>
      </c>
      <c r="CT40" s="8">
        <f t="shared" si="33"/>
        <v>0</v>
      </c>
      <c r="CU40" s="8">
        <f t="shared" si="34"/>
        <v>0</v>
      </c>
      <c r="CV40" s="8">
        <f t="shared" si="35"/>
        <v>0</v>
      </c>
      <c r="CW40" s="8">
        <f t="shared" si="36"/>
        <v>0</v>
      </c>
      <c r="CX40" s="8">
        <f t="shared" si="37"/>
        <v>0</v>
      </c>
      <c r="CY40" s="8">
        <f t="shared" si="38"/>
        <v>0</v>
      </c>
      <c r="CZ40" s="8">
        <f t="shared" si="39"/>
        <v>0</v>
      </c>
      <c r="DA40" s="8">
        <f t="shared" si="40"/>
        <v>0</v>
      </c>
      <c r="DB40" s="8">
        <f t="shared" si="41"/>
        <v>0</v>
      </c>
      <c r="DC40" s="8">
        <f t="shared" si="42"/>
        <v>0</v>
      </c>
      <c r="DD40" s="8">
        <f t="shared" si="43"/>
        <v>0</v>
      </c>
      <c r="DE40" s="8">
        <f t="shared" si="44"/>
        <v>0</v>
      </c>
      <c r="DF40" s="8">
        <f t="shared" si="45"/>
        <v>0</v>
      </c>
      <c r="DG40" s="8">
        <f t="shared" si="46"/>
        <v>0</v>
      </c>
      <c r="DH40" s="8">
        <f t="shared" si="47"/>
        <v>0</v>
      </c>
      <c r="DI40" s="8">
        <f t="shared" si="48"/>
        <v>0</v>
      </c>
      <c r="DJ40" s="8">
        <f t="shared" si="49"/>
        <v>0</v>
      </c>
      <c r="DK40" s="8">
        <f t="shared" si="50"/>
        <v>0</v>
      </c>
      <c r="DL40" s="8">
        <f t="shared" si="51"/>
        <v>0</v>
      </c>
      <c r="DM40" s="8">
        <f t="shared" si="52"/>
        <v>0</v>
      </c>
      <c r="DN40" s="8">
        <f t="shared" si="53"/>
        <v>0</v>
      </c>
      <c r="DO40" s="177"/>
      <c r="DP40" s="141" t="s">
        <v>417</v>
      </c>
      <c r="DQ40" s="141" t="s">
        <v>417</v>
      </c>
      <c r="DR40" s="141" t="s">
        <v>417</v>
      </c>
      <c r="DS40" s="141" t="s">
        <v>417</v>
      </c>
      <c r="DT40" s="141"/>
      <c r="DU40" s="141"/>
      <c r="DV40" s="141" t="s">
        <v>417</v>
      </c>
      <c r="DW40" s="141" t="s">
        <v>417</v>
      </c>
      <c r="DX40" s="141" t="s">
        <v>417</v>
      </c>
      <c r="DY40" s="141" t="s">
        <v>417</v>
      </c>
      <c r="DZ40" s="141" t="s">
        <v>417</v>
      </c>
      <c r="EA40" s="141"/>
      <c r="EB40" s="141" t="s">
        <v>417</v>
      </c>
      <c r="EC40" s="141"/>
      <c r="ED40" s="141" t="s">
        <v>417</v>
      </c>
      <c r="EE40" s="141"/>
      <c r="EF40" s="141" t="s">
        <v>417</v>
      </c>
      <c r="EG40" s="141"/>
      <c r="EH40" s="141"/>
      <c r="EI40" s="141"/>
      <c r="EJ40" s="142"/>
      <c r="EK40" s="180"/>
    </row>
    <row r="41" spans="2:141" x14ac:dyDescent="0.25">
      <c r="B41" s="69" t="str">
        <f>IF(Profession="","",IF(HLOOKUP(Profession,Skills!$DO$3:$EK$126,ROW(D41)-2,FALSE)="","",HLOOKUP(Profession,Skills!$DO$3:$EK$126,ROW(D41)-2,FALSE)))</f>
        <v>x</v>
      </c>
      <c r="C41" s="70">
        <v>3</v>
      </c>
      <c r="D41" s="35" t="s">
        <v>77</v>
      </c>
      <c r="E41" s="35" t="str">
        <f ca="1">OFFSET(Character!$U$17,C41-1,0)</f>
        <v>Thrown</v>
      </c>
      <c r="F41" s="164"/>
      <c r="G41" s="33">
        <f t="shared" ca="1" si="67"/>
        <v>-25</v>
      </c>
      <c r="H41" s="33">
        <f ca="1">SUM(O41:(OFFSET(O41,0,Level)))</f>
        <v>0</v>
      </c>
      <c r="I41" s="33">
        <f t="shared" ca="1" si="63"/>
        <v>-25</v>
      </c>
      <c r="J41" s="33">
        <f t="shared" ca="1" si="7"/>
        <v>0</v>
      </c>
      <c r="K41" s="33">
        <f t="shared" ca="1" si="64"/>
        <v>0</v>
      </c>
      <c r="L41" s="168"/>
      <c r="M41" s="33" t="str">
        <f t="shared" ca="1" si="68"/>
        <v>Ag/Ag/St</v>
      </c>
      <c r="N41" s="33" t="str">
        <f t="shared" si="54"/>
        <v>3/4</v>
      </c>
      <c r="O41" s="131" t="str">
        <f t="shared" ca="1" si="69"/>
        <v/>
      </c>
      <c r="P41" s="168"/>
      <c r="Q41" s="168"/>
      <c r="R41" s="168"/>
      <c r="S41" s="168"/>
      <c r="T41" s="168"/>
      <c r="U41" s="164"/>
      <c r="V41" s="164"/>
      <c r="W41" s="164"/>
      <c r="X41" s="164"/>
      <c r="Y41" s="164"/>
      <c r="Z41" s="164"/>
      <c r="AA41" s="164"/>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73"/>
      <c r="BN41" s="110">
        <f ca="1">IF(E41="Missile",Character!$L$67,IF(E41="Thrown",Character!$L$67,IF(E41="Melee",0,IF(E41="Unarmed",0,IF(E41="Directed Spell",0,IF(E41="Siege Weapon",0,IF(E41="Firearm",0,IF(E41="Energy Weapon",0))))))))</f>
        <v>0</v>
      </c>
      <c r="BO41" s="27" t="str">
        <f t="shared" si="70"/>
        <v>3</v>
      </c>
      <c r="BP41" s="8" t="str">
        <f t="shared" si="71"/>
        <v>4</v>
      </c>
      <c r="BQ41" s="8">
        <f t="shared" si="72"/>
        <v>0</v>
      </c>
      <c r="BR41" s="8">
        <f t="shared" si="73"/>
        <v>0</v>
      </c>
      <c r="BS41" s="8">
        <f t="shared" si="74"/>
        <v>0</v>
      </c>
      <c r="BT41" s="8">
        <f t="shared" si="75"/>
        <v>0</v>
      </c>
      <c r="BU41" s="8">
        <f t="shared" si="76"/>
        <v>0</v>
      </c>
      <c r="BV41" s="8">
        <f t="shared" si="77"/>
        <v>0</v>
      </c>
      <c r="BW41" s="8">
        <f t="shared" si="78"/>
        <v>0</v>
      </c>
      <c r="BX41" s="8">
        <f t="shared" si="79"/>
        <v>0</v>
      </c>
      <c r="BY41" s="8">
        <f t="shared" si="80"/>
        <v>0</v>
      </c>
      <c r="BZ41" s="8">
        <f t="shared" si="81"/>
        <v>0</v>
      </c>
      <c r="CA41" s="8">
        <f t="shared" si="82"/>
        <v>0</v>
      </c>
      <c r="CB41" s="8">
        <f t="shared" si="83"/>
        <v>0</v>
      </c>
      <c r="CC41" s="8">
        <f t="shared" si="84"/>
        <v>0</v>
      </c>
      <c r="CD41" s="8">
        <f t="shared" si="85"/>
        <v>0</v>
      </c>
      <c r="CE41" s="8">
        <f t="shared" si="86"/>
        <v>0</v>
      </c>
      <c r="CF41" s="8">
        <f t="shared" si="87"/>
        <v>0</v>
      </c>
      <c r="CG41" s="8">
        <f t="shared" si="88"/>
        <v>0</v>
      </c>
      <c r="CH41" s="8">
        <f t="shared" si="89"/>
        <v>0</v>
      </c>
      <c r="CI41" s="8">
        <f t="shared" si="90"/>
        <v>0</v>
      </c>
      <c r="CJ41" s="8">
        <f t="shared" si="61"/>
        <v>0</v>
      </c>
      <c r="CK41" s="8">
        <f t="shared" si="61"/>
        <v>0</v>
      </c>
      <c r="CL41" s="8">
        <f t="shared" si="61"/>
        <v>0</v>
      </c>
      <c r="CM41" s="8">
        <f t="shared" si="61"/>
        <v>0</v>
      </c>
      <c r="CN41" s="8">
        <f t="shared" si="61"/>
        <v>0</v>
      </c>
      <c r="CO41" s="8">
        <f t="shared" si="61"/>
        <v>0</v>
      </c>
      <c r="CP41" s="8">
        <f t="shared" si="61"/>
        <v>0</v>
      </c>
      <c r="CQ41" s="8">
        <f t="shared" si="30"/>
        <v>0</v>
      </c>
      <c r="CR41" s="8">
        <f t="shared" si="31"/>
        <v>0</v>
      </c>
      <c r="CS41" s="8">
        <f t="shared" si="32"/>
        <v>0</v>
      </c>
      <c r="CT41" s="8">
        <f t="shared" si="33"/>
        <v>0</v>
      </c>
      <c r="CU41" s="8">
        <f t="shared" si="34"/>
        <v>0</v>
      </c>
      <c r="CV41" s="8">
        <f t="shared" si="35"/>
        <v>0</v>
      </c>
      <c r="CW41" s="8">
        <f t="shared" si="36"/>
        <v>0</v>
      </c>
      <c r="CX41" s="8">
        <f t="shared" si="37"/>
        <v>0</v>
      </c>
      <c r="CY41" s="8">
        <f t="shared" si="38"/>
        <v>0</v>
      </c>
      <c r="CZ41" s="8">
        <f t="shared" si="39"/>
        <v>0</v>
      </c>
      <c r="DA41" s="8">
        <f t="shared" si="40"/>
        <v>0</v>
      </c>
      <c r="DB41" s="8">
        <f t="shared" si="41"/>
        <v>0</v>
      </c>
      <c r="DC41" s="8">
        <f t="shared" si="42"/>
        <v>0</v>
      </c>
      <c r="DD41" s="8">
        <f t="shared" si="43"/>
        <v>0</v>
      </c>
      <c r="DE41" s="8">
        <f t="shared" si="44"/>
        <v>0</v>
      </c>
      <c r="DF41" s="8">
        <f t="shared" si="45"/>
        <v>0</v>
      </c>
      <c r="DG41" s="8">
        <f t="shared" si="46"/>
        <v>0</v>
      </c>
      <c r="DH41" s="8">
        <f t="shared" si="47"/>
        <v>0</v>
      </c>
      <c r="DI41" s="8">
        <f t="shared" si="48"/>
        <v>0</v>
      </c>
      <c r="DJ41" s="8">
        <f t="shared" si="49"/>
        <v>0</v>
      </c>
      <c r="DK41" s="8">
        <f t="shared" si="50"/>
        <v>0</v>
      </c>
      <c r="DL41" s="8">
        <f t="shared" si="51"/>
        <v>0</v>
      </c>
      <c r="DM41" s="8">
        <f t="shared" si="52"/>
        <v>0</v>
      </c>
      <c r="DN41" s="8">
        <f t="shared" si="53"/>
        <v>0</v>
      </c>
      <c r="DO41" s="177"/>
      <c r="DP41" s="141" t="s">
        <v>417</v>
      </c>
      <c r="DQ41" s="141" t="s">
        <v>417</v>
      </c>
      <c r="DR41" s="141" t="s">
        <v>417</v>
      </c>
      <c r="DS41" s="141" t="s">
        <v>417</v>
      </c>
      <c r="DT41" s="141"/>
      <c r="DU41" s="141"/>
      <c r="DV41" s="141" t="s">
        <v>417</v>
      </c>
      <c r="DW41" s="141" t="s">
        <v>417</v>
      </c>
      <c r="DX41" s="141" t="s">
        <v>417</v>
      </c>
      <c r="DY41" s="141" t="s">
        <v>417</v>
      </c>
      <c r="DZ41" s="141" t="s">
        <v>417</v>
      </c>
      <c r="EA41" s="141"/>
      <c r="EB41" s="141" t="s">
        <v>417</v>
      </c>
      <c r="EC41" s="141"/>
      <c r="ED41" s="141" t="s">
        <v>417</v>
      </c>
      <c r="EE41" s="141"/>
      <c r="EF41" s="141" t="s">
        <v>417</v>
      </c>
      <c r="EG41" s="141"/>
      <c r="EH41" s="141"/>
      <c r="EI41" s="141"/>
      <c r="EJ41" s="142"/>
      <c r="EK41" s="180"/>
    </row>
    <row r="42" spans="2:141" x14ac:dyDescent="0.25">
      <c r="B42" s="69" t="str">
        <f>IF(Profession="","",IF(HLOOKUP(Profession,Skills!$DO$3:$EK$126,ROW(D42)-2,FALSE)="","",HLOOKUP(Profession,Skills!$DO$3:$EK$126,ROW(D42)-2,FALSE)))</f>
        <v>x</v>
      </c>
      <c r="C42" s="70">
        <v>4</v>
      </c>
      <c r="D42" s="35" t="s">
        <v>78</v>
      </c>
      <c r="E42" s="35" t="str">
        <f ca="1">OFFSET(Character!$U$17,C42-1,0)</f>
        <v>Unarmed</v>
      </c>
      <c r="F42" s="164"/>
      <c r="G42" s="33">
        <f t="shared" ca="1" si="67"/>
        <v>-25</v>
      </c>
      <c r="H42" s="33">
        <f ca="1">SUM(O42:(OFFSET(O42,0,Level)))</f>
        <v>0</v>
      </c>
      <c r="I42" s="33">
        <f t="shared" ca="1" si="63"/>
        <v>-25</v>
      </c>
      <c r="J42" s="33">
        <f t="shared" ca="1" si="7"/>
        <v>0</v>
      </c>
      <c r="K42" s="33">
        <f t="shared" ca="1" si="64"/>
        <v>0</v>
      </c>
      <c r="L42" s="168"/>
      <c r="M42" s="33" t="str">
        <f t="shared" ca="1" si="68"/>
        <v>Ag/St/St</v>
      </c>
      <c r="N42" s="33" t="str">
        <f t="shared" si="54"/>
        <v>3/5</v>
      </c>
      <c r="O42" s="131" t="str">
        <f t="shared" ca="1" si="69"/>
        <v/>
      </c>
      <c r="P42" s="168"/>
      <c r="Q42" s="168"/>
      <c r="R42" s="168"/>
      <c r="S42" s="168"/>
      <c r="T42" s="168"/>
      <c r="U42" s="164"/>
      <c r="V42" s="164"/>
      <c r="W42" s="164"/>
      <c r="X42" s="164"/>
      <c r="Y42" s="164"/>
      <c r="Z42" s="164"/>
      <c r="AA42" s="164"/>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73"/>
      <c r="BN42" s="110">
        <f ca="1">IF(E42="Missile",Character!$L$67,IF(E42="Thrown",Character!$L$67,IF(E42="Melee",0,IF(E42="Unarmed",0,IF(E42="Directed Spell",0,IF(E42="Siege Weapon",0,IF(E42="Firearm",0,IF(E42="Energy Weapon",0))))))))</f>
        <v>0</v>
      </c>
      <c r="BO42" s="27" t="str">
        <f t="shared" si="70"/>
        <v>3</v>
      </c>
      <c r="BP42" s="8" t="str">
        <f t="shared" si="71"/>
        <v>5</v>
      </c>
      <c r="BQ42" s="8">
        <f t="shared" si="72"/>
        <v>0</v>
      </c>
      <c r="BR42" s="8">
        <f t="shared" si="73"/>
        <v>0</v>
      </c>
      <c r="BS42" s="8">
        <f t="shared" si="74"/>
        <v>0</v>
      </c>
      <c r="BT42" s="8">
        <f t="shared" si="75"/>
        <v>0</v>
      </c>
      <c r="BU42" s="8">
        <f t="shared" si="76"/>
        <v>0</v>
      </c>
      <c r="BV42" s="8">
        <f t="shared" si="77"/>
        <v>0</v>
      </c>
      <c r="BW42" s="8">
        <f t="shared" si="78"/>
        <v>0</v>
      </c>
      <c r="BX42" s="8">
        <f t="shared" si="79"/>
        <v>0</v>
      </c>
      <c r="BY42" s="8">
        <f t="shared" si="80"/>
        <v>0</v>
      </c>
      <c r="BZ42" s="8">
        <f t="shared" si="81"/>
        <v>0</v>
      </c>
      <c r="CA42" s="8">
        <f t="shared" si="82"/>
        <v>0</v>
      </c>
      <c r="CB42" s="8">
        <f t="shared" si="83"/>
        <v>0</v>
      </c>
      <c r="CC42" s="8">
        <f t="shared" si="84"/>
        <v>0</v>
      </c>
      <c r="CD42" s="8">
        <f t="shared" si="85"/>
        <v>0</v>
      </c>
      <c r="CE42" s="8">
        <f t="shared" si="86"/>
        <v>0</v>
      </c>
      <c r="CF42" s="8">
        <f t="shared" si="87"/>
        <v>0</v>
      </c>
      <c r="CG42" s="8">
        <f t="shared" si="88"/>
        <v>0</v>
      </c>
      <c r="CH42" s="8">
        <f t="shared" si="89"/>
        <v>0</v>
      </c>
      <c r="CI42" s="8">
        <f t="shared" si="90"/>
        <v>0</v>
      </c>
      <c r="CJ42" s="8">
        <f t="shared" ref="CJ42:CP59" si="91">IF(AI42=0,0,IF(AI42=1,INT($BO42),$BO42+$BP42*(AI42-1)))</f>
        <v>0</v>
      </c>
      <c r="CK42" s="8">
        <f t="shared" si="91"/>
        <v>0</v>
      </c>
      <c r="CL42" s="8">
        <f t="shared" si="91"/>
        <v>0</v>
      </c>
      <c r="CM42" s="8">
        <f t="shared" si="91"/>
        <v>0</v>
      </c>
      <c r="CN42" s="8">
        <f t="shared" si="91"/>
        <v>0</v>
      </c>
      <c r="CO42" s="8">
        <f t="shared" si="91"/>
        <v>0</v>
      </c>
      <c r="CP42" s="8">
        <f t="shared" si="91"/>
        <v>0</v>
      </c>
      <c r="CQ42" s="8">
        <f t="shared" si="30"/>
        <v>0</v>
      </c>
      <c r="CR42" s="8">
        <f t="shared" si="31"/>
        <v>0</v>
      </c>
      <c r="CS42" s="8">
        <f t="shared" si="32"/>
        <v>0</v>
      </c>
      <c r="CT42" s="8">
        <f t="shared" si="33"/>
        <v>0</v>
      </c>
      <c r="CU42" s="8">
        <f t="shared" si="34"/>
        <v>0</v>
      </c>
      <c r="CV42" s="8">
        <f t="shared" si="35"/>
        <v>0</v>
      </c>
      <c r="CW42" s="8">
        <f t="shared" si="36"/>
        <v>0</v>
      </c>
      <c r="CX42" s="8">
        <f t="shared" si="37"/>
        <v>0</v>
      </c>
      <c r="CY42" s="8">
        <f t="shared" si="38"/>
        <v>0</v>
      </c>
      <c r="CZ42" s="8">
        <f t="shared" si="39"/>
        <v>0</v>
      </c>
      <c r="DA42" s="8">
        <f t="shared" si="40"/>
        <v>0</v>
      </c>
      <c r="DB42" s="8">
        <f t="shared" si="41"/>
        <v>0</v>
      </c>
      <c r="DC42" s="8">
        <f t="shared" si="42"/>
        <v>0</v>
      </c>
      <c r="DD42" s="8">
        <f t="shared" si="43"/>
        <v>0</v>
      </c>
      <c r="DE42" s="8">
        <f t="shared" si="44"/>
        <v>0</v>
      </c>
      <c r="DF42" s="8">
        <f t="shared" si="45"/>
        <v>0</v>
      </c>
      <c r="DG42" s="8">
        <f t="shared" si="46"/>
        <v>0</v>
      </c>
      <c r="DH42" s="8">
        <f t="shared" si="47"/>
        <v>0</v>
      </c>
      <c r="DI42" s="8">
        <f t="shared" si="48"/>
        <v>0</v>
      </c>
      <c r="DJ42" s="8">
        <f t="shared" si="49"/>
        <v>0</v>
      </c>
      <c r="DK42" s="8">
        <f t="shared" si="50"/>
        <v>0</v>
      </c>
      <c r="DL42" s="8">
        <f t="shared" si="51"/>
        <v>0</v>
      </c>
      <c r="DM42" s="8">
        <f t="shared" si="52"/>
        <v>0</v>
      </c>
      <c r="DN42" s="8">
        <f t="shared" si="53"/>
        <v>0</v>
      </c>
      <c r="DO42" s="177"/>
      <c r="DP42" s="141" t="s">
        <v>417</v>
      </c>
      <c r="DQ42" s="141" t="s">
        <v>417</v>
      </c>
      <c r="DR42" s="141" t="s">
        <v>417</v>
      </c>
      <c r="DS42" s="141" t="s">
        <v>417</v>
      </c>
      <c r="DT42" s="141"/>
      <c r="DU42" s="141"/>
      <c r="DV42" s="141" t="s">
        <v>417</v>
      </c>
      <c r="DW42" s="141" t="s">
        <v>417</v>
      </c>
      <c r="DX42" s="141" t="s">
        <v>417</v>
      </c>
      <c r="DY42" s="141" t="s">
        <v>417</v>
      </c>
      <c r="DZ42" s="141" t="s">
        <v>417</v>
      </c>
      <c r="EA42" s="141"/>
      <c r="EB42" s="141" t="s">
        <v>417</v>
      </c>
      <c r="EC42" s="141"/>
      <c r="ED42" s="141" t="s">
        <v>417</v>
      </c>
      <c r="EE42" s="141"/>
      <c r="EF42" s="141" t="s">
        <v>417</v>
      </c>
      <c r="EG42" s="141"/>
      <c r="EH42" s="141"/>
      <c r="EI42" s="141"/>
      <c r="EJ42" s="142"/>
      <c r="EK42" s="180"/>
    </row>
    <row r="43" spans="2:141" ht="15.75" thickBot="1" x14ac:dyDescent="0.3">
      <c r="B43" s="69" t="str">
        <f>IF(Profession="","",IF(HLOOKUP(Profession,Skills!$DO$3:$EK$126,ROW(D43)-2,FALSE)="","",HLOOKUP(Profession,Skills!$DO$3:$EK$126,ROW(D43)-2,FALSE)))</f>
        <v>x</v>
      </c>
      <c r="C43" s="70">
        <v>5</v>
      </c>
      <c r="D43" s="35" t="s">
        <v>79</v>
      </c>
      <c r="E43" s="35" t="str">
        <f ca="1">OFFSET(Character!$U$17,C43-1,0)</f>
        <v>Directed Spell</v>
      </c>
      <c r="F43" s="164" t="s">
        <v>256</v>
      </c>
      <c r="G43" s="33">
        <f t="shared" ca="1" si="67"/>
        <v>-17</v>
      </c>
      <c r="H43" s="33">
        <f ca="1">SUM(O43:(OFFSET(O43,0,Level)))</f>
        <v>0</v>
      </c>
      <c r="I43" s="33">
        <f t="shared" ca="1" si="63"/>
        <v>-25</v>
      </c>
      <c r="J43" s="33">
        <f t="shared" ca="1" si="7"/>
        <v>8</v>
      </c>
      <c r="K43" s="33">
        <f t="shared" ca="1" si="64"/>
        <v>0</v>
      </c>
      <c r="L43" s="168"/>
      <c r="M43" s="33" t="str">
        <f t="shared" ca="1" si="68"/>
        <v>Ag/SD/RS</v>
      </c>
      <c r="N43" s="33" t="str">
        <f t="shared" si="54"/>
        <v>4/6</v>
      </c>
      <c r="O43" s="131" t="str">
        <f t="shared" ca="1" si="69"/>
        <v/>
      </c>
      <c r="P43" s="168"/>
      <c r="Q43" s="168"/>
      <c r="R43" s="168"/>
      <c r="S43" s="168"/>
      <c r="T43" s="168"/>
      <c r="U43" s="164"/>
      <c r="V43" s="164"/>
      <c r="W43" s="164"/>
      <c r="X43" s="164"/>
      <c r="Y43" s="164"/>
      <c r="Z43" s="164"/>
      <c r="AA43" s="164"/>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73"/>
      <c r="BN43" s="111">
        <f ca="1">IF(E43="Missile",Character!$L$67,IF(E43="Thrown",Character!$L$67,IF(E43="Melee",0,IF(E43="Unarmed",0,IF(E43="Directed Spell",0,IF(E43="Siege Weapon",0,IF(E43="Firearm",0,IF(E43="Energy Weapon",0))))))))</f>
        <v>0</v>
      </c>
      <c r="BO43" s="27" t="str">
        <f t="shared" si="70"/>
        <v>4</v>
      </c>
      <c r="BP43" s="8" t="str">
        <f t="shared" si="71"/>
        <v>6</v>
      </c>
      <c r="BQ43" s="8">
        <f t="shared" si="72"/>
        <v>0</v>
      </c>
      <c r="BR43" s="8">
        <f t="shared" si="73"/>
        <v>0</v>
      </c>
      <c r="BS43" s="8">
        <f t="shared" si="74"/>
        <v>0</v>
      </c>
      <c r="BT43" s="8">
        <f t="shared" si="75"/>
        <v>0</v>
      </c>
      <c r="BU43" s="8">
        <f t="shared" si="76"/>
        <v>0</v>
      </c>
      <c r="BV43" s="8">
        <f t="shared" si="77"/>
        <v>0</v>
      </c>
      <c r="BW43" s="8">
        <f t="shared" si="78"/>
        <v>0</v>
      </c>
      <c r="BX43" s="8">
        <f t="shared" si="79"/>
        <v>0</v>
      </c>
      <c r="BY43" s="8">
        <f t="shared" si="80"/>
        <v>0</v>
      </c>
      <c r="BZ43" s="8">
        <f t="shared" si="81"/>
        <v>0</v>
      </c>
      <c r="CA43" s="8">
        <f t="shared" si="82"/>
        <v>0</v>
      </c>
      <c r="CB43" s="8">
        <f t="shared" si="83"/>
        <v>0</v>
      </c>
      <c r="CC43" s="8">
        <f t="shared" si="84"/>
        <v>0</v>
      </c>
      <c r="CD43" s="8">
        <f t="shared" si="85"/>
        <v>0</v>
      </c>
      <c r="CE43" s="8">
        <f t="shared" si="86"/>
        <v>0</v>
      </c>
      <c r="CF43" s="8">
        <f t="shared" si="87"/>
        <v>0</v>
      </c>
      <c r="CG43" s="8">
        <f t="shared" si="88"/>
        <v>0</v>
      </c>
      <c r="CH43" s="8">
        <f t="shared" si="89"/>
        <v>0</v>
      </c>
      <c r="CI43" s="8">
        <f t="shared" si="90"/>
        <v>0</v>
      </c>
      <c r="CJ43" s="8">
        <f t="shared" si="91"/>
        <v>0</v>
      </c>
      <c r="CK43" s="8">
        <f t="shared" si="91"/>
        <v>0</v>
      </c>
      <c r="CL43" s="8">
        <f t="shared" si="91"/>
        <v>0</v>
      </c>
      <c r="CM43" s="8">
        <f t="shared" si="91"/>
        <v>0</v>
      </c>
      <c r="CN43" s="8">
        <f t="shared" si="91"/>
        <v>0</v>
      </c>
      <c r="CO43" s="8">
        <f t="shared" si="91"/>
        <v>0</v>
      </c>
      <c r="CP43" s="8">
        <f t="shared" si="91"/>
        <v>0</v>
      </c>
      <c r="CQ43" s="8">
        <f t="shared" si="30"/>
        <v>0</v>
      </c>
      <c r="CR43" s="8">
        <f t="shared" si="31"/>
        <v>0</v>
      </c>
      <c r="CS43" s="8">
        <f t="shared" si="32"/>
        <v>0</v>
      </c>
      <c r="CT43" s="8">
        <f t="shared" si="33"/>
        <v>0</v>
      </c>
      <c r="CU43" s="8">
        <f t="shared" si="34"/>
        <v>0</v>
      </c>
      <c r="CV43" s="8">
        <f t="shared" si="35"/>
        <v>0</v>
      </c>
      <c r="CW43" s="8">
        <f t="shared" si="36"/>
        <v>0</v>
      </c>
      <c r="CX43" s="8">
        <f t="shared" si="37"/>
        <v>0</v>
      </c>
      <c r="CY43" s="8">
        <f t="shared" si="38"/>
        <v>0</v>
      </c>
      <c r="CZ43" s="8">
        <f t="shared" si="39"/>
        <v>0</v>
      </c>
      <c r="DA43" s="8">
        <f t="shared" si="40"/>
        <v>0</v>
      </c>
      <c r="DB43" s="8">
        <f t="shared" si="41"/>
        <v>0</v>
      </c>
      <c r="DC43" s="8">
        <f t="shared" si="42"/>
        <v>0</v>
      </c>
      <c r="DD43" s="8">
        <f t="shared" si="43"/>
        <v>0</v>
      </c>
      <c r="DE43" s="8">
        <f t="shared" si="44"/>
        <v>0</v>
      </c>
      <c r="DF43" s="8">
        <f t="shared" si="45"/>
        <v>0</v>
      </c>
      <c r="DG43" s="8">
        <f t="shared" si="46"/>
        <v>0</v>
      </c>
      <c r="DH43" s="8">
        <f t="shared" si="47"/>
        <v>0</v>
      </c>
      <c r="DI43" s="8">
        <f t="shared" si="48"/>
        <v>0</v>
      </c>
      <c r="DJ43" s="8">
        <f t="shared" si="49"/>
        <v>0</v>
      </c>
      <c r="DK43" s="8">
        <f t="shared" si="50"/>
        <v>0</v>
      </c>
      <c r="DL43" s="8">
        <f t="shared" si="51"/>
        <v>0</v>
      </c>
      <c r="DM43" s="8">
        <f t="shared" si="52"/>
        <v>0</v>
      </c>
      <c r="DN43" s="8">
        <f t="shared" si="53"/>
        <v>0</v>
      </c>
      <c r="DO43" s="177"/>
      <c r="DP43" s="141" t="s">
        <v>417</v>
      </c>
      <c r="DQ43" s="141" t="s">
        <v>417</v>
      </c>
      <c r="DR43" s="141" t="s">
        <v>417</v>
      </c>
      <c r="DS43" s="141" t="s">
        <v>417</v>
      </c>
      <c r="DT43" s="141"/>
      <c r="DU43" s="141"/>
      <c r="DV43" s="141" t="s">
        <v>417</v>
      </c>
      <c r="DW43" s="141" t="s">
        <v>417</v>
      </c>
      <c r="DX43" s="141" t="s">
        <v>417</v>
      </c>
      <c r="DY43" s="141" t="s">
        <v>417</v>
      </c>
      <c r="DZ43" s="141" t="s">
        <v>417</v>
      </c>
      <c r="EA43" s="141"/>
      <c r="EB43" s="141" t="s">
        <v>417</v>
      </c>
      <c r="EC43" s="141"/>
      <c r="ED43" s="141" t="s">
        <v>417</v>
      </c>
      <c r="EE43" s="141"/>
      <c r="EF43" s="141" t="s">
        <v>417</v>
      </c>
      <c r="EG43" s="141"/>
      <c r="EH43" s="141"/>
      <c r="EI43" s="141"/>
      <c r="EJ43" s="142"/>
      <c r="EK43" s="180"/>
    </row>
    <row r="44" spans="2:141" x14ac:dyDescent="0.25">
      <c r="B44" s="69"/>
      <c r="C44" s="32" t="s">
        <v>113</v>
      </c>
      <c r="D44" s="35"/>
      <c r="E44" s="35"/>
      <c r="F44" s="166"/>
      <c r="G44" s="33"/>
      <c r="H44" s="33"/>
      <c r="I44" s="33"/>
      <c r="J44" s="33"/>
      <c r="K44" s="33"/>
      <c r="L44" s="33"/>
      <c r="M44" s="33"/>
      <c r="N44" s="33"/>
      <c r="O44" s="51"/>
      <c r="P44" s="174"/>
      <c r="Q44" s="174"/>
      <c r="R44" s="174"/>
      <c r="S44" s="174"/>
      <c r="T44" s="174"/>
      <c r="U44" s="166"/>
      <c r="V44" s="166"/>
      <c r="W44" s="166"/>
      <c r="X44" s="166"/>
      <c r="Y44" s="166"/>
      <c r="Z44" s="166"/>
      <c r="AA44" s="166"/>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5"/>
      <c r="BO44" s="27" t="str">
        <f t="shared" si="70"/>
        <v/>
      </c>
      <c r="BP44" s="8" t="str">
        <f t="shared" si="71"/>
        <v/>
      </c>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169"/>
      <c r="DP44" s="35"/>
      <c r="DQ44" s="35"/>
      <c r="DR44" s="35"/>
      <c r="DS44" s="35"/>
      <c r="DT44" s="35"/>
      <c r="DU44" s="35"/>
      <c r="DV44" s="35"/>
      <c r="DW44" s="35"/>
      <c r="DX44" s="35"/>
      <c r="DY44" s="35"/>
      <c r="DZ44" s="35"/>
      <c r="EA44" s="35"/>
      <c r="EB44" s="35"/>
      <c r="EC44" s="35"/>
      <c r="ED44" s="35"/>
      <c r="EE44" s="35"/>
      <c r="EF44" s="35"/>
      <c r="EG44" s="35"/>
      <c r="EH44" s="35"/>
      <c r="EI44" s="35"/>
      <c r="EJ44" s="35"/>
      <c r="EK44" s="181"/>
    </row>
    <row r="45" spans="2:141" x14ac:dyDescent="0.25">
      <c r="B45" s="69" t="str">
        <f>IF(Profession="","",IF(HLOOKUP(Profession,Skills!$DO$3:$EK$126,ROW(D45)-2,FALSE)="","",HLOOKUP(Profession,Skills!$DO$3:$EK$126,ROW(D45)-2,FALSE)))</f>
        <v/>
      </c>
      <c r="C45" s="32"/>
      <c r="D45" s="35" t="s">
        <v>80</v>
      </c>
      <c r="E45" s="35" t="str">
        <f>D45</f>
        <v>Body Discipline</v>
      </c>
      <c r="F45" s="164" t="s">
        <v>258</v>
      </c>
      <c r="G45" s="33">
        <f t="shared" ca="1" si="5"/>
        <v>-25</v>
      </c>
      <c r="H45" s="33">
        <f ca="1">SUM(O45:(OFFSET(O45,0,Level)))</f>
        <v>0</v>
      </c>
      <c r="I45" s="33">
        <f ca="1">IF(Level=0,"",VLOOKUP(H45,RankBonus,2,FALSE))</f>
        <v>-25</v>
      </c>
      <c r="J45" s="33">
        <f t="shared" si="7"/>
        <v>0</v>
      </c>
      <c r="K45" s="33">
        <f ca="1">IF(Profession="",0,IF(Profession="No Profession",IF(B45="x",H45,0),(VLOOKUP(D45,PBSkills,MATCH(Profession,Professions,0)+2,FALSE)*H45)))</f>
        <v>0</v>
      </c>
      <c r="L45" s="168"/>
      <c r="M45" s="33" t="str">
        <f t="shared" si="9"/>
        <v>Co/SD/SD</v>
      </c>
      <c r="N45" s="33" t="str">
        <f t="shared" si="54"/>
        <v>2/3</v>
      </c>
      <c r="O45" s="131"/>
      <c r="P45" s="168"/>
      <c r="Q45" s="168"/>
      <c r="R45" s="168"/>
      <c r="S45" s="168"/>
      <c r="T45" s="168"/>
      <c r="U45" s="164"/>
      <c r="V45" s="164"/>
      <c r="W45" s="164"/>
      <c r="X45" s="164"/>
      <c r="Y45" s="164"/>
      <c r="Z45" s="164"/>
      <c r="AA45" s="164"/>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73"/>
      <c r="BO45" s="27" t="str">
        <f t="shared" si="70"/>
        <v>2</v>
      </c>
      <c r="BP45" s="8" t="str">
        <f t="shared" si="71"/>
        <v>3</v>
      </c>
      <c r="BQ45" s="8">
        <f t="shared" si="72"/>
        <v>0</v>
      </c>
      <c r="BR45" s="8">
        <f t="shared" si="73"/>
        <v>0</v>
      </c>
      <c r="BS45" s="8">
        <f t="shared" si="74"/>
        <v>0</v>
      </c>
      <c r="BT45" s="8">
        <f t="shared" si="75"/>
        <v>0</v>
      </c>
      <c r="BU45" s="8">
        <f t="shared" si="76"/>
        <v>0</v>
      </c>
      <c r="BV45" s="8">
        <f t="shared" si="77"/>
        <v>0</v>
      </c>
      <c r="BW45" s="8">
        <f t="shared" si="78"/>
        <v>0</v>
      </c>
      <c r="BX45" s="8">
        <f t="shared" si="79"/>
        <v>0</v>
      </c>
      <c r="BY45" s="8">
        <f t="shared" si="80"/>
        <v>0</v>
      </c>
      <c r="BZ45" s="8">
        <f t="shared" si="81"/>
        <v>0</v>
      </c>
      <c r="CA45" s="8">
        <f t="shared" si="82"/>
        <v>0</v>
      </c>
      <c r="CB45" s="8">
        <f t="shared" si="83"/>
        <v>0</v>
      </c>
      <c r="CC45" s="8">
        <f t="shared" si="84"/>
        <v>0</v>
      </c>
      <c r="CD45" s="8">
        <f t="shared" si="85"/>
        <v>0</v>
      </c>
      <c r="CE45" s="8">
        <f t="shared" si="86"/>
        <v>0</v>
      </c>
      <c r="CF45" s="8">
        <f t="shared" si="87"/>
        <v>0</v>
      </c>
      <c r="CG45" s="8">
        <f t="shared" si="88"/>
        <v>0</v>
      </c>
      <c r="CH45" s="8">
        <f t="shared" si="89"/>
        <v>0</v>
      </c>
      <c r="CI45" s="8">
        <f t="shared" si="90"/>
        <v>0</v>
      </c>
      <c r="CJ45" s="8">
        <f t="shared" si="91"/>
        <v>0</v>
      </c>
      <c r="CK45" s="8">
        <f t="shared" si="91"/>
        <v>0</v>
      </c>
      <c r="CL45" s="8">
        <f t="shared" si="91"/>
        <v>0</v>
      </c>
      <c r="CM45" s="8">
        <f t="shared" si="91"/>
        <v>0</v>
      </c>
      <c r="CN45" s="8">
        <f t="shared" si="91"/>
        <v>0</v>
      </c>
      <c r="CO45" s="8">
        <f t="shared" si="91"/>
        <v>0</v>
      </c>
      <c r="CP45" s="8">
        <f t="shared" si="91"/>
        <v>0</v>
      </c>
      <c r="CQ45" s="8">
        <f t="shared" si="30"/>
        <v>0</v>
      </c>
      <c r="CR45" s="8">
        <f t="shared" si="31"/>
        <v>0</v>
      </c>
      <c r="CS45" s="8">
        <f t="shared" si="32"/>
        <v>0</v>
      </c>
      <c r="CT45" s="8">
        <f t="shared" si="33"/>
        <v>0</v>
      </c>
      <c r="CU45" s="8">
        <f t="shared" si="34"/>
        <v>0</v>
      </c>
      <c r="CV45" s="8">
        <f t="shared" si="35"/>
        <v>0</v>
      </c>
      <c r="CW45" s="8">
        <f t="shared" si="36"/>
        <v>0</v>
      </c>
      <c r="CX45" s="8">
        <f t="shared" si="37"/>
        <v>0</v>
      </c>
      <c r="CY45" s="8">
        <f t="shared" si="38"/>
        <v>0</v>
      </c>
      <c r="CZ45" s="8">
        <f t="shared" si="39"/>
        <v>0</v>
      </c>
      <c r="DA45" s="8">
        <f t="shared" si="40"/>
        <v>0</v>
      </c>
      <c r="DB45" s="8">
        <f t="shared" si="41"/>
        <v>0</v>
      </c>
      <c r="DC45" s="8">
        <f t="shared" si="42"/>
        <v>0</v>
      </c>
      <c r="DD45" s="8">
        <f t="shared" si="43"/>
        <v>0</v>
      </c>
      <c r="DE45" s="8">
        <f t="shared" si="44"/>
        <v>0</v>
      </c>
      <c r="DF45" s="8">
        <f t="shared" si="45"/>
        <v>0</v>
      </c>
      <c r="DG45" s="8">
        <f t="shared" si="46"/>
        <v>0</v>
      </c>
      <c r="DH45" s="8">
        <f t="shared" si="47"/>
        <v>0</v>
      </c>
      <c r="DI45" s="8">
        <f t="shared" si="48"/>
        <v>0</v>
      </c>
      <c r="DJ45" s="8">
        <f t="shared" si="49"/>
        <v>0</v>
      </c>
      <c r="DK45" s="8">
        <f t="shared" si="50"/>
        <v>0</v>
      </c>
      <c r="DL45" s="8">
        <f t="shared" si="51"/>
        <v>0</v>
      </c>
      <c r="DM45" s="8">
        <f t="shared" si="52"/>
        <v>0</v>
      </c>
      <c r="DN45" s="8">
        <f t="shared" si="53"/>
        <v>0</v>
      </c>
      <c r="DO45" s="177"/>
      <c r="DP45" s="141"/>
      <c r="DQ45" s="141" t="s">
        <v>417</v>
      </c>
      <c r="DR45" s="141"/>
      <c r="DS45" s="141"/>
      <c r="DT45" s="141"/>
      <c r="DU45" s="141"/>
      <c r="DV45" s="141"/>
      <c r="DW45" s="141"/>
      <c r="DX45" s="141" t="s">
        <v>417</v>
      </c>
      <c r="DY45" s="141"/>
      <c r="DZ45" s="141"/>
      <c r="EA45" s="141"/>
      <c r="EB45" s="141"/>
      <c r="EC45" s="141"/>
      <c r="ED45" s="141"/>
      <c r="EE45" s="141"/>
      <c r="EF45" s="141" t="s">
        <v>417</v>
      </c>
      <c r="EG45" s="141"/>
      <c r="EH45" s="141"/>
      <c r="EI45" s="141"/>
      <c r="EJ45" s="142"/>
      <c r="EK45" s="180"/>
    </row>
    <row r="46" spans="2:141" x14ac:dyDescent="0.25">
      <c r="B46" s="69" t="str">
        <f>IF(Profession="","",IF(HLOOKUP(Profession,Skills!$DO$3:$EK$126,ROW(D46)-2,FALSE)="","",HLOOKUP(Profession,Skills!$DO$3:$EK$126,ROW(D46)-2,FALSE)))</f>
        <v/>
      </c>
      <c r="C46" s="32"/>
      <c r="D46" s="35" t="s">
        <v>80</v>
      </c>
      <c r="E46" s="35" t="str">
        <f>D46</f>
        <v>Body Discipline</v>
      </c>
      <c r="F46" s="164" t="s">
        <v>259</v>
      </c>
      <c r="G46" s="33">
        <f t="shared" ca="1" si="5"/>
        <v>-25</v>
      </c>
      <c r="H46" s="33">
        <f ca="1">SUM(O46:(OFFSET(O46,0,Level)))</f>
        <v>0</v>
      </c>
      <c r="I46" s="33">
        <f ca="1">IF(Level=0,"",VLOOKUP(H46,RankBonus,2,FALSE))</f>
        <v>-25</v>
      </c>
      <c r="J46" s="33">
        <f>IF(OR(M46="",M46="-"),0,VLOOKUP(MID(M46,1,2),StatBonuses,2,FALSE)+VLOOKUP(MID(M46,4,2),StatBonuses,2,FALSE)+VLOOKUP(MID(M46,7,2),StatBonuses,2,FALSE))</f>
        <v>0</v>
      </c>
      <c r="K46" s="33">
        <f ca="1">IF(Profession="",0,IF(Profession="No Profession",IF(B46="x",H46,0),(VLOOKUP(D46,PBSkills,MATCH(Profession,Professions,0)+2,FALSE)*H46)))</f>
        <v>0</v>
      </c>
      <c r="L46" s="168"/>
      <c r="M46" s="33" t="str">
        <f>IF(D46="","",VLOOKUP(D46,DPCosts,2,FALSE))</f>
        <v>Co/SD/SD</v>
      </c>
      <c r="N46" s="33" t="str">
        <f>IF(OR(D46="", Profession=""),"",VLOOKUP(D46,DPCosts,MATCH(Profession,Professions,0)+2,FALSE))</f>
        <v>2/3</v>
      </c>
      <c r="O46" s="131"/>
      <c r="P46" s="168"/>
      <c r="Q46" s="168"/>
      <c r="R46" s="168"/>
      <c r="S46" s="168"/>
      <c r="T46" s="168"/>
      <c r="U46" s="164"/>
      <c r="V46" s="164"/>
      <c r="W46" s="164"/>
      <c r="X46" s="164"/>
      <c r="Y46" s="164"/>
      <c r="Z46" s="164"/>
      <c r="AA46" s="164"/>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73"/>
      <c r="BO46" s="27" t="str">
        <f t="shared" si="70"/>
        <v>2</v>
      </c>
      <c r="BP46" s="8" t="str">
        <f t="shared" si="71"/>
        <v>3</v>
      </c>
      <c r="BQ46" s="8">
        <f t="shared" si="72"/>
        <v>0</v>
      </c>
      <c r="BR46" s="8">
        <f t="shared" si="73"/>
        <v>0</v>
      </c>
      <c r="BS46" s="8">
        <f t="shared" si="74"/>
        <v>0</v>
      </c>
      <c r="BT46" s="8">
        <f t="shared" si="75"/>
        <v>0</v>
      </c>
      <c r="BU46" s="8">
        <f t="shared" si="76"/>
        <v>0</v>
      </c>
      <c r="BV46" s="8">
        <f t="shared" si="77"/>
        <v>0</v>
      </c>
      <c r="BW46" s="8">
        <f t="shared" si="78"/>
        <v>0</v>
      </c>
      <c r="BX46" s="8">
        <f t="shared" si="79"/>
        <v>0</v>
      </c>
      <c r="BY46" s="8">
        <f t="shared" si="80"/>
        <v>0</v>
      </c>
      <c r="BZ46" s="8">
        <f t="shared" si="81"/>
        <v>0</v>
      </c>
      <c r="CA46" s="8">
        <f t="shared" si="82"/>
        <v>0</v>
      </c>
      <c r="CB46" s="8">
        <f t="shared" si="83"/>
        <v>0</v>
      </c>
      <c r="CC46" s="8">
        <f t="shared" si="84"/>
        <v>0</v>
      </c>
      <c r="CD46" s="8">
        <f t="shared" si="85"/>
        <v>0</v>
      </c>
      <c r="CE46" s="8">
        <f t="shared" si="86"/>
        <v>0</v>
      </c>
      <c r="CF46" s="8">
        <f t="shared" si="87"/>
        <v>0</v>
      </c>
      <c r="CG46" s="8">
        <f t="shared" si="88"/>
        <v>0</v>
      </c>
      <c r="CH46" s="8">
        <f t="shared" si="89"/>
        <v>0</v>
      </c>
      <c r="CI46" s="8">
        <f t="shared" si="90"/>
        <v>0</v>
      </c>
      <c r="CJ46" s="8">
        <f t="shared" si="91"/>
        <v>0</v>
      </c>
      <c r="CK46" s="8">
        <f t="shared" si="91"/>
        <v>0</v>
      </c>
      <c r="CL46" s="8">
        <f t="shared" si="91"/>
        <v>0</v>
      </c>
      <c r="CM46" s="8">
        <f t="shared" si="91"/>
        <v>0</v>
      </c>
      <c r="CN46" s="8">
        <f t="shared" si="91"/>
        <v>0</v>
      </c>
      <c r="CO46" s="8">
        <f t="shared" si="91"/>
        <v>0</v>
      </c>
      <c r="CP46" s="8">
        <f t="shared" si="91"/>
        <v>0</v>
      </c>
      <c r="CQ46" s="8">
        <f t="shared" si="30"/>
        <v>0</v>
      </c>
      <c r="CR46" s="8">
        <f t="shared" si="31"/>
        <v>0</v>
      </c>
      <c r="CS46" s="8">
        <f t="shared" si="32"/>
        <v>0</v>
      </c>
      <c r="CT46" s="8">
        <f t="shared" si="33"/>
        <v>0</v>
      </c>
      <c r="CU46" s="8">
        <f t="shared" si="34"/>
        <v>0</v>
      </c>
      <c r="CV46" s="8">
        <f t="shared" si="35"/>
        <v>0</v>
      </c>
      <c r="CW46" s="8">
        <f t="shared" si="36"/>
        <v>0</v>
      </c>
      <c r="CX46" s="8">
        <f t="shared" si="37"/>
        <v>0</v>
      </c>
      <c r="CY46" s="8">
        <f t="shared" si="38"/>
        <v>0</v>
      </c>
      <c r="CZ46" s="8">
        <f t="shared" si="39"/>
        <v>0</v>
      </c>
      <c r="DA46" s="8">
        <f t="shared" si="40"/>
        <v>0</v>
      </c>
      <c r="DB46" s="8">
        <f t="shared" si="41"/>
        <v>0</v>
      </c>
      <c r="DC46" s="8">
        <f t="shared" si="42"/>
        <v>0</v>
      </c>
      <c r="DD46" s="8">
        <f t="shared" si="43"/>
        <v>0</v>
      </c>
      <c r="DE46" s="8">
        <f t="shared" si="44"/>
        <v>0</v>
      </c>
      <c r="DF46" s="8">
        <f t="shared" si="45"/>
        <v>0</v>
      </c>
      <c r="DG46" s="8">
        <f t="shared" si="46"/>
        <v>0</v>
      </c>
      <c r="DH46" s="8">
        <f t="shared" si="47"/>
        <v>0</v>
      </c>
      <c r="DI46" s="8">
        <f t="shared" si="48"/>
        <v>0</v>
      </c>
      <c r="DJ46" s="8">
        <f t="shared" si="49"/>
        <v>0</v>
      </c>
      <c r="DK46" s="8">
        <f t="shared" si="50"/>
        <v>0</v>
      </c>
      <c r="DL46" s="8">
        <f t="shared" si="51"/>
        <v>0</v>
      </c>
      <c r="DM46" s="8">
        <f t="shared" si="52"/>
        <v>0</v>
      </c>
      <c r="DN46" s="8">
        <f t="shared" si="53"/>
        <v>0</v>
      </c>
      <c r="DO46" s="177"/>
      <c r="DP46" s="141"/>
      <c r="DQ46" s="141" t="s">
        <v>417</v>
      </c>
      <c r="DR46" s="141"/>
      <c r="DS46" s="141"/>
      <c r="DT46" s="141"/>
      <c r="DU46" s="141"/>
      <c r="DV46" s="141"/>
      <c r="DW46" s="141"/>
      <c r="DX46" s="141" t="s">
        <v>417</v>
      </c>
      <c r="DY46" s="141"/>
      <c r="DZ46" s="141"/>
      <c r="EA46" s="141"/>
      <c r="EB46" s="141"/>
      <c r="EC46" s="141"/>
      <c r="ED46" s="141"/>
      <c r="EE46" s="141"/>
      <c r="EF46" s="141" t="s">
        <v>417</v>
      </c>
      <c r="EG46" s="141"/>
      <c r="EH46" s="141"/>
      <c r="EI46" s="141"/>
      <c r="EJ46" s="142"/>
      <c r="EK46" s="180"/>
    </row>
    <row r="47" spans="2:141" x14ac:dyDescent="0.25">
      <c r="B47" s="69" t="str">
        <f>IF(Profession="","",IF(HLOOKUP(Profession,Skills!$DO$3:$EK$126,ROW(D47)-2,FALSE)="","",HLOOKUP(Profession,Skills!$DO$3:$EK$126,ROW(D47)-2,FALSE)))</f>
        <v/>
      </c>
      <c r="C47" s="32"/>
      <c r="D47" s="35" t="s">
        <v>81</v>
      </c>
      <c r="E47" s="35" t="str">
        <f>D47</f>
        <v>Mental Discipline</v>
      </c>
      <c r="F47" s="164" t="s">
        <v>260</v>
      </c>
      <c r="G47" s="33">
        <f t="shared" ca="1" si="5"/>
        <v>-25</v>
      </c>
      <c r="H47" s="33">
        <f ca="1">SUM(O47:(OFFSET(O47,0,Level)))</f>
        <v>0</v>
      </c>
      <c r="I47" s="33">
        <f ca="1">IF(Level=0,"",VLOOKUP(H47,RankBonus,2,FALSE))</f>
        <v>-25</v>
      </c>
      <c r="J47" s="33">
        <f t="shared" ref="J47:J74" si="92">IF(OR(M47="",M47="-"),0,VLOOKUP(MID(M47,1,2),StatBonuses,2,FALSE)+VLOOKUP(MID(M47,4,2),StatBonuses,2,FALSE)+VLOOKUP(MID(M47,7,2),StatBonuses,2,FALSE))</f>
        <v>0</v>
      </c>
      <c r="K47" s="33">
        <f ca="1">IF(Profession="",0,IF(Profession="No Profession",IF(B47="x",H47,0),(VLOOKUP(D47,PBSkills,MATCH(Profession,Professions,0)+2,FALSE)*H47)))</f>
        <v>0</v>
      </c>
      <c r="L47" s="168"/>
      <c r="M47" s="33" t="str">
        <f t="shared" ref="M47:M94" si="93">IF(D47="","",VLOOKUP(D47,DPCosts,2,FALSE))</f>
        <v>SD/SD/Pr</v>
      </c>
      <c r="N47" s="33" t="str">
        <f t="shared" ref="N47:N89" si="94">IF(OR(D47="", Profession=""),"",VLOOKUP(D47,DPCosts,MATCH(Profession,Professions,0)+2,FALSE))</f>
        <v>4/6</v>
      </c>
      <c r="O47" s="131"/>
      <c r="P47" s="168"/>
      <c r="Q47" s="168"/>
      <c r="R47" s="168"/>
      <c r="S47" s="168"/>
      <c r="T47" s="168"/>
      <c r="U47" s="164"/>
      <c r="V47" s="164"/>
      <c r="W47" s="164"/>
      <c r="X47" s="164"/>
      <c r="Y47" s="164"/>
      <c r="Z47" s="164"/>
      <c r="AA47" s="164"/>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73"/>
      <c r="BO47" s="27" t="str">
        <f t="shared" si="70"/>
        <v>4</v>
      </c>
      <c r="BP47" s="8" t="str">
        <f t="shared" si="71"/>
        <v>6</v>
      </c>
      <c r="BQ47" s="8">
        <f t="shared" si="72"/>
        <v>0</v>
      </c>
      <c r="BR47" s="8">
        <f t="shared" si="73"/>
        <v>0</v>
      </c>
      <c r="BS47" s="8">
        <f t="shared" si="74"/>
        <v>0</v>
      </c>
      <c r="BT47" s="8">
        <f t="shared" si="75"/>
        <v>0</v>
      </c>
      <c r="BU47" s="8">
        <f t="shared" si="76"/>
        <v>0</v>
      </c>
      <c r="BV47" s="8">
        <f t="shared" si="77"/>
        <v>0</v>
      </c>
      <c r="BW47" s="8">
        <f t="shared" si="78"/>
        <v>0</v>
      </c>
      <c r="BX47" s="8">
        <f t="shared" si="79"/>
        <v>0</v>
      </c>
      <c r="BY47" s="8">
        <f t="shared" si="80"/>
        <v>0</v>
      </c>
      <c r="BZ47" s="8">
        <f t="shared" si="81"/>
        <v>0</v>
      </c>
      <c r="CA47" s="8">
        <f t="shared" si="82"/>
        <v>0</v>
      </c>
      <c r="CB47" s="8">
        <f t="shared" si="83"/>
        <v>0</v>
      </c>
      <c r="CC47" s="8">
        <f t="shared" si="84"/>
        <v>0</v>
      </c>
      <c r="CD47" s="8">
        <f t="shared" si="85"/>
        <v>0</v>
      </c>
      <c r="CE47" s="8">
        <f t="shared" si="86"/>
        <v>0</v>
      </c>
      <c r="CF47" s="8">
        <f t="shared" si="87"/>
        <v>0</v>
      </c>
      <c r="CG47" s="8">
        <f t="shared" si="88"/>
        <v>0</v>
      </c>
      <c r="CH47" s="8">
        <f t="shared" si="89"/>
        <v>0</v>
      </c>
      <c r="CI47" s="8">
        <f t="shared" si="90"/>
        <v>0</v>
      </c>
      <c r="CJ47" s="8">
        <f t="shared" si="91"/>
        <v>0</v>
      </c>
      <c r="CK47" s="8">
        <f t="shared" si="91"/>
        <v>0</v>
      </c>
      <c r="CL47" s="8">
        <f t="shared" si="91"/>
        <v>0</v>
      </c>
      <c r="CM47" s="8">
        <f t="shared" si="91"/>
        <v>0</v>
      </c>
      <c r="CN47" s="8">
        <f t="shared" si="91"/>
        <v>0</v>
      </c>
      <c r="CO47" s="8">
        <f t="shared" si="91"/>
        <v>0</v>
      </c>
      <c r="CP47" s="8">
        <f t="shared" si="91"/>
        <v>0</v>
      </c>
      <c r="CQ47" s="8">
        <f t="shared" si="30"/>
        <v>0</v>
      </c>
      <c r="CR47" s="8">
        <f t="shared" si="31"/>
        <v>0</v>
      </c>
      <c r="CS47" s="8">
        <f t="shared" si="32"/>
        <v>0</v>
      </c>
      <c r="CT47" s="8">
        <f t="shared" si="33"/>
        <v>0</v>
      </c>
      <c r="CU47" s="8">
        <f t="shared" si="34"/>
        <v>0</v>
      </c>
      <c r="CV47" s="8">
        <f t="shared" si="35"/>
        <v>0</v>
      </c>
      <c r="CW47" s="8">
        <f t="shared" si="36"/>
        <v>0</v>
      </c>
      <c r="CX47" s="8">
        <f t="shared" si="37"/>
        <v>0</v>
      </c>
      <c r="CY47" s="8">
        <f t="shared" si="38"/>
        <v>0</v>
      </c>
      <c r="CZ47" s="8">
        <f t="shared" si="39"/>
        <v>0</v>
      </c>
      <c r="DA47" s="8">
        <f t="shared" si="40"/>
        <v>0</v>
      </c>
      <c r="DB47" s="8">
        <f t="shared" si="41"/>
        <v>0</v>
      </c>
      <c r="DC47" s="8">
        <f t="shared" si="42"/>
        <v>0</v>
      </c>
      <c r="DD47" s="8">
        <f t="shared" si="43"/>
        <v>0</v>
      </c>
      <c r="DE47" s="8">
        <f t="shared" si="44"/>
        <v>0</v>
      </c>
      <c r="DF47" s="8">
        <f t="shared" si="45"/>
        <v>0</v>
      </c>
      <c r="DG47" s="8">
        <f t="shared" si="46"/>
        <v>0</v>
      </c>
      <c r="DH47" s="8">
        <f t="shared" si="47"/>
        <v>0</v>
      </c>
      <c r="DI47" s="8">
        <f t="shared" si="48"/>
        <v>0</v>
      </c>
      <c r="DJ47" s="8">
        <f t="shared" si="49"/>
        <v>0</v>
      </c>
      <c r="DK47" s="8">
        <f t="shared" si="50"/>
        <v>0</v>
      </c>
      <c r="DL47" s="8">
        <f t="shared" si="51"/>
        <v>0</v>
      </c>
      <c r="DM47" s="8">
        <f t="shared" si="52"/>
        <v>0</v>
      </c>
      <c r="DN47" s="8">
        <f t="shared" si="53"/>
        <v>0</v>
      </c>
      <c r="DO47" s="177"/>
      <c r="DP47" s="141"/>
      <c r="DQ47" s="141" t="s">
        <v>417</v>
      </c>
      <c r="DR47" s="141"/>
      <c r="DS47" s="141"/>
      <c r="DT47" s="141"/>
      <c r="DU47" s="141"/>
      <c r="DV47" s="141"/>
      <c r="DW47" s="141"/>
      <c r="DX47" s="141"/>
      <c r="DY47" s="141"/>
      <c r="DZ47" s="141"/>
      <c r="EA47" s="141"/>
      <c r="EB47" s="141"/>
      <c r="EC47" s="141"/>
      <c r="ED47" s="141"/>
      <c r="EE47" s="141"/>
      <c r="EF47" s="141" t="s">
        <v>417</v>
      </c>
      <c r="EG47" s="141" t="s">
        <v>417</v>
      </c>
      <c r="EH47" s="141" t="s">
        <v>417</v>
      </c>
      <c r="EI47" s="141"/>
      <c r="EJ47" s="142" t="s">
        <v>417</v>
      </c>
      <c r="EK47" s="180"/>
    </row>
    <row r="48" spans="2:141" x14ac:dyDescent="0.25">
      <c r="B48" s="69"/>
      <c r="C48" s="32" t="s">
        <v>64</v>
      </c>
      <c r="D48" s="35"/>
      <c r="E48" s="35"/>
      <c r="F48" s="52"/>
      <c r="G48" s="33"/>
      <c r="H48" s="33">
        <f ca="1">SUM(O48:(OFFSET(O48,0,Level)))</f>
        <v>0</v>
      </c>
      <c r="I48" s="33"/>
      <c r="J48" s="33"/>
      <c r="K48" s="33"/>
      <c r="L48" s="33"/>
      <c r="M48" s="33"/>
      <c r="N48" s="33"/>
      <c r="O48" s="51"/>
      <c r="P48" s="174"/>
      <c r="Q48" s="174"/>
      <c r="R48" s="174"/>
      <c r="S48" s="174"/>
      <c r="T48" s="174"/>
      <c r="U48" s="166"/>
      <c r="V48" s="166"/>
      <c r="W48" s="166"/>
      <c r="X48" s="166"/>
      <c r="Y48" s="166"/>
      <c r="Z48" s="166"/>
      <c r="AA48" s="166"/>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5"/>
      <c r="BO48" s="27" t="str">
        <f t="shared" si="70"/>
        <v/>
      </c>
      <c r="BP48" s="8" t="str">
        <f t="shared" si="71"/>
        <v/>
      </c>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169"/>
      <c r="DP48" s="35"/>
      <c r="DQ48" s="35"/>
      <c r="DR48" s="35"/>
      <c r="DS48" s="35"/>
      <c r="DT48" s="35"/>
      <c r="DU48" s="35"/>
      <c r="DV48" s="35"/>
      <c r="DW48" s="35"/>
      <c r="DX48" s="35"/>
      <c r="DY48" s="35"/>
      <c r="DZ48" s="35"/>
      <c r="EA48" s="35"/>
      <c r="EB48" s="35"/>
      <c r="EC48" s="35"/>
      <c r="ED48" s="35"/>
      <c r="EE48" s="35"/>
      <c r="EF48" s="35"/>
      <c r="EG48" s="35"/>
      <c r="EH48" s="35"/>
      <c r="EI48" s="35"/>
      <c r="EJ48" s="35"/>
      <c r="EK48" s="181"/>
    </row>
    <row r="49" spans="2:141" x14ac:dyDescent="0.25">
      <c r="B49" s="69" t="str">
        <f>IF(Profession="","",IF(HLOOKUP(Profession,Skills!$DO$3:$EK$126,ROW(D49)-2,FALSE)="","",HLOOKUP(Profession,Skills!$DO$3:$EK$126,ROW(D49)-2,FALSE)))</f>
        <v/>
      </c>
      <c r="C49" s="32"/>
      <c r="D49" s="35" t="s">
        <v>82</v>
      </c>
      <c r="E49" s="35" t="str">
        <f>D49</f>
        <v>Delving</v>
      </c>
      <c r="F49" s="164" t="s">
        <v>261</v>
      </c>
      <c r="G49" s="33">
        <f t="shared" ca="1" si="5"/>
        <v>-17</v>
      </c>
      <c r="H49" s="33">
        <f ca="1">SUM(O49:(OFFSET(O49,0,Level)))</f>
        <v>0</v>
      </c>
      <c r="I49" s="33">
        <f t="shared" ref="I49:I54" ca="1" si="95">IF(Level=0,"",VLOOKUP(H49,RankBonus,2,FALSE))</f>
        <v>-25</v>
      </c>
      <c r="J49" s="33">
        <f t="shared" si="92"/>
        <v>8</v>
      </c>
      <c r="K49" s="33">
        <f t="shared" ref="K49:K54" ca="1" si="96">IF(Profession="",0,IF(Profession="No Profession",IF(B49="x",H49,0),(VLOOKUP(D49,PBSkills,MATCH(Profession,Professions,0)+2,FALSE)*H49)))</f>
        <v>0</v>
      </c>
      <c r="L49" s="168"/>
      <c r="M49" s="33" t="str">
        <f t="shared" si="93"/>
        <v>Em/In/Pr</v>
      </c>
      <c r="N49" s="33" t="str">
        <f t="shared" si="94"/>
        <v>9/12</v>
      </c>
      <c r="O49" s="131"/>
      <c r="P49" s="168"/>
      <c r="Q49" s="168"/>
      <c r="R49" s="168"/>
      <c r="S49" s="168"/>
      <c r="T49" s="168"/>
      <c r="U49" s="164"/>
      <c r="V49" s="164"/>
      <c r="W49" s="164"/>
      <c r="X49" s="164"/>
      <c r="Y49" s="164"/>
      <c r="Z49" s="164"/>
      <c r="AA49" s="164"/>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73"/>
      <c r="BO49" s="27" t="str">
        <f t="shared" si="70"/>
        <v>9</v>
      </c>
      <c r="BP49" s="8" t="str">
        <f t="shared" si="71"/>
        <v>12</v>
      </c>
      <c r="BQ49" s="8">
        <f t="shared" si="72"/>
        <v>0</v>
      </c>
      <c r="BR49" s="8">
        <f t="shared" si="73"/>
        <v>0</v>
      </c>
      <c r="BS49" s="8">
        <f t="shared" si="74"/>
        <v>0</v>
      </c>
      <c r="BT49" s="8">
        <f t="shared" si="75"/>
        <v>0</v>
      </c>
      <c r="BU49" s="8">
        <f t="shared" si="76"/>
        <v>0</v>
      </c>
      <c r="BV49" s="8">
        <f t="shared" si="77"/>
        <v>0</v>
      </c>
      <c r="BW49" s="8">
        <f t="shared" si="78"/>
        <v>0</v>
      </c>
      <c r="BX49" s="8">
        <f t="shared" si="79"/>
        <v>0</v>
      </c>
      <c r="BY49" s="8">
        <f t="shared" si="80"/>
        <v>0</v>
      </c>
      <c r="BZ49" s="8">
        <f t="shared" si="81"/>
        <v>0</v>
      </c>
      <c r="CA49" s="8">
        <f t="shared" si="82"/>
        <v>0</v>
      </c>
      <c r="CB49" s="8">
        <f t="shared" si="83"/>
        <v>0</v>
      </c>
      <c r="CC49" s="8">
        <f t="shared" si="84"/>
        <v>0</v>
      </c>
      <c r="CD49" s="8">
        <f t="shared" si="85"/>
        <v>0</v>
      </c>
      <c r="CE49" s="8">
        <f t="shared" si="86"/>
        <v>0</v>
      </c>
      <c r="CF49" s="8">
        <f t="shared" si="87"/>
        <v>0</v>
      </c>
      <c r="CG49" s="8">
        <f t="shared" si="88"/>
        <v>0</v>
      </c>
      <c r="CH49" s="8">
        <f t="shared" si="89"/>
        <v>0</v>
      </c>
      <c r="CI49" s="8">
        <f t="shared" si="90"/>
        <v>0</v>
      </c>
      <c r="CJ49" s="8">
        <f t="shared" si="91"/>
        <v>0</v>
      </c>
      <c r="CK49" s="8">
        <f t="shared" si="91"/>
        <v>0</v>
      </c>
      <c r="CL49" s="8">
        <f t="shared" si="91"/>
        <v>0</v>
      </c>
      <c r="CM49" s="8">
        <f t="shared" si="91"/>
        <v>0</v>
      </c>
      <c r="CN49" s="8">
        <f t="shared" si="91"/>
        <v>0</v>
      </c>
      <c r="CO49" s="8">
        <f t="shared" si="91"/>
        <v>0</v>
      </c>
      <c r="CP49" s="8">
        <f t="shared" si="91"/>
        <v>0</v>
      </c>
      <c r="CQ49" s="8">
        <f t="shared" si="30"/>
        <v>0</v>
      </c>
      <c r="CR49" s="8">
        <f t="shared" si="31"/>
        <v>0</v>
      </c>
      <c r="CS49" s="8">
        <f t="shared" si="32"/>
        <v>0</v>
      </c>
      <c r="CT49" s="8">
        <f t="shared" si="33"/>
        <v>0</v>
      </c>
      <c r="CU49" s="8">
        <f t="shared" si="34"/>
        <v>0</v>
      </c>
      <c r="CV49" s="8">
        <f t="shared" si="35"/>
        <v>0</v>
      </c>
      <c r="CW49" s="8">
        <f t="shared" si="36"/>
        <v>0</v>
      </c>
      <c r="CX49" s="8">
        <f t="shared" si="37"/>
        <v>0</v>
      </c>
      <c r="CY49" s="8">
        <f t="shared" si="38"/>
        <v>0</v>
      </c>
      <c r="CZ49" s="8">
        <f t="shared" si="39"/>
        <v>0</v>
      </c>
      <c r="DA49" s="8">
        <f t="shared" si="40"/>
        <v>0</v>
      </c>
      <c r="DB49" s="8">
        <f t="shared" si="41"/>
        <v>0</v>
      </c>
      <c r="DC49" s="8">
        <f t="shared" si="42"/>
        <v>0</v>
      </c>
      <c r="DD49" s="8">
        <f t="shared" si="43"/>
        <v>0</v>
      </c>
      <c r="DE49" s="8">
        <f t="shared" si="44"/>
        <v>0</v>
      </c>
      <c r="DF49" s="8">
        <f t="shared" si="45"/>
        <v>0</v>
      </c>
      <c r="DG49" s="8">
        <f t="shared" si="46"/>
        <v>0</v>
      </c>
      <c r="DH49" s="8">
        <f t="shared" si="47"/>
        <v>0</v>
      </c>
      <c r="DI49" s="8">
        <f t="shared" si="48"/>
        <v>0</v>
      </c>
      <c r="DJ49" s="8">
        <f t="shared" si="49"/>
        <v>0</v>
      </c>
      <c r="DK49" s="8">
        <f t="shared" si="50"/>
        <v>0</v>
      </c>
      <c r="DL49" s="8">
        <f t="shared" si="51"/>
        <v>0</v>
      </c>
      <c r="DM49" s="8">
        <f t="shared" si="52"/>
        <v>0</v>
      </c>
      <c r="DN49" s="8">
        <f t="shared" si="53"/>
        <v>0</v>
      </c>
      <c r="DO49" s="177"/>
      <c r="DP49" s="141"/>
      <c r="DQ49" s="141" t="s">
        <v>417</v>
      </c>
      <c r="DR49" s="141"/>
      <c r="DS49" s="141"/>
      <c r="DT49" s="141"/>
      <c r="DU49" s="141"/>
      <c r="DV49" s="141"/>
      <c r="DW49" s="141"/>
      <c r="DX49" s="141"/>
      <c r="DY49" s="141"/>
      <c r="DZ49" s="141"/>
      <c r="EA49" s="141"/>
      <c r="EB49" s="141"/>
      <c r="EC49" s="141"/>
      <c r="ED49" s="141"/>
      <c r="EE49" s="141"/>
      <c r="EF49" s="141" t="s">
        <v>417</v>
      </c>
      <c r="EG49" s="141" t="s">
        <v>417</v>
      </c>
      <c r="EH49" s="141" t="s">
        <v>417</v>
      </c>
      <c r="EI49" s="141"/>
      <c r="EJ49" s="142" t="s">
        <v>417</v>
      </c>
      <c r="EK49" s="180"/>
    </row>
    <row r="50" spans="2:141" x14ac:dyDescent="0.25">
      <c r="B50" s="69" t="str">
        <f>IF(Profession="","",IF(HLOOKUP(Profession,Skills!$DO$3:$EK$126,ROW(D50)-2,FALSE)="","",HLOOKUP(Profession,Skills!$DO$3:$EK$126,ROW(D50)-2,FALSE)))</f>
        <v/>
      </c>
      <c r="C50" s="32"/>
      <c r="D50" s="35" t="s">
        <v>82</v>
      </c>
      <c r="E50" s="35" t="str">
        <f>D50</f>
        <v>Delving</v>
      </c>
      <c r="F50" s="164" t="s">
        <v>262</v>
      </c>
      <c r="G50" s="33">
        <f t="shared" ca="1" si="5"/>
        <v>-17</v>
      </c>
      <c r="H50" s="33">
        <f ca="1">SUM(O50:(OFFSET(O50,0,Level)))</f>
        <v>0</v>
      </c>
      <c r="I50" s="33">
        <f t="shared" ca="1" si="95"/>
        <v>-25</v>
      </c>
      <c r="J50" s="33">
        <f t="shared" si="92"/>
        <v>8</v>
      </c>
      <c r="K50" s="33">
        <f t="shared" ca="1" si="96"/>
        <v>0</v>
      </c>
      <c r="L50" s="168"/>
      <c r="M50" s="33" t="str">
        <f t="shared" si="93"/>
        <v>Em/In/Pr</v>
      </c>
      <c r="N50" s="33" t="str">
        <f t="shared" si="94"/>
        <v>9/12</v>
      </c>
      <c r="O50" s="131"/>
      <c r="P50" s="168"/>
      <c r="Q50" s="168"/>
      <c r="R50" s="168"/>
      <c r="S50" s="168"/>
      <c r="T50" s="168"/>
      <c r="U50" s="164"/>
      <c r="V50" s="164"/>
      <c r="W50" s="164"/>
      <c r="X50" s="164"/>
      <c r="Y50" s="164"/>
      <c r="Z50" s="164"/>
      <c r="AA50" s="164"/>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73"/>
      <c r="BO50" s="27" t="str">
        <f t="shared" si="70"/>
        <v>9</v>
      </c>
      <c r="BP50" s="8" t="str">
        <f t="shared" si="71"/>
        <v>12</v>
      </c>
      <c r="BQ50" s="8">
        <f t="shared" si="72"/>
        <v>0</v>
      </c>
      <c r="BR50" s="8">
        <f t="shared" si="73"/>
        <v>0</v>
      </c>
      <c r="BS50" s="8">
        <f t="shared" si="74"/>
        <v>0</v>
      </c>
      <c r="BT50" s="8">
        <f t="shared" si="75"/>
        <v>0</v>
      </c>
      <c r="BU50" s="8">
        <f t="shared" si="76"/>
        <v>0</v>
      </c>
      <c r="BV50" s="8">
        <f t="shared" si="77"/>
        <v>0</v>
      </c>
      <c r="BW50" s="8">
        <f t="shared" si="78"/>
        <v>0</v>
      </c>
      <c r="BX50" s="8">
        <f t="shared" si="79"/>
        <v>0</v>
      </c>
      <c r="BY50" s="8">
        <f t="shared" si="80"/>
        <v>0</v>
      </c>
      <c r="BZ50" s="8">
        <f t="shared" si="81"/>
        <v>0</v>
      </c>
      <c r="CA50" s="8">
        <f t="shared" si="82"/>
        <v>0</v>
      </c>
      <c r="CB50" s="8">
        <f t="shared" si="83"/>
        <v>0</v>
      </c>
      <c r="CC50" s="8">
        <f t="shared" si="84"/>
        <v>0</v>
      </c>
      <c r="CD50" s="8">
        <f t="shared" si="85"/>
        <v>0</v>
      </c>
      <c r="CE50" s="8">
        <f t="shared" si="86"/>
        <v>0</v>
      </c>
      <c r="CF50" s="8">
        <f t="shared" si="87"/>
        <v>0</v>
      </c>
      <c r="CG50" s="8">
        <f t="shared" si="88"/>
        <v>0</v>
      </c>
      <c r="CH50" s="8">
        <f t="shared" si="89"/>
        <v>0</v>
      </c>
      <c r="CI50" s="8">
        <f t="shared" si="90"/>
        <v>0</v>
      </c>
      <c r="CJ50" s="8">
        <f t="shared" si="91"/>
        <v>0</v>
      </c>
      <c r="CK50" s="8">
        <f t="shared" si="91"/>
        <v>0</v>
      </c>
      <c r="CL50" s="8">
        <f t="shared" si="91"/>
        <v>0</v>
      </c>
      <c r="CM50" s="8">
        <f t="shared" si="91"/>
        <v>0</v>
      </c>
      <c r="CN50" s="8">
        <f t="shared" si="91"/>
        <v>0</v>
      </c>
      <c r="CO50" s="8">
        <f t="shared" si="91"/>
        <v>0</v>
      </c>
      <c r="CP50" s="8">
        <f t="shared" si="91"/>
        <v>0</v>
      </c>
      <c r="CQ50" s="8">
        <f t="shared" si="30"/>
        <v>0</v>
      </c>
      <c r="CR50" s="8">
        <f t="shared" si="31"/>
        <v>0</v>
      </c>
      <c r="CS50" s="8">
        <f t="shared" si="32"/>
        <v>0</v>
      </c>
      <c r="CT50" s="8">
        <f t="shared" si="33"/>
        <v>0</v>
      </c>
      <c r="CU50" s="8">
        <f t="shared" si="34"/>
        <v>0</v>
      </c>
      <c r="CV50" s="8">
        <f t="shared" si="35"/>
        <v>0</v>
      </c>
      <c r="CW50" s="8">
        <f t="shared" si="36"/>
        <v>0</v>
      </c>
      <c r="CX50" s="8">
        <f t="shared" si="37"/>
        <v>0</v>
      </c>
      <c r="CY50" s="8">
        <f t="shared" si="38"/>
        <v>0</v>
      </c>
      <c r="CZ50" s="8">
        <f t="shared" si="39"/>
        <v>0</v>
      </c>
      <c r="DA50" s="8">
        <f t="shared" si="40"/>
        <v>0</v>
      </c>
      <c r="DB50" s="8">
        <f t="shared" si="41"/>
        <v>0</v>
      </c>
      <c r="DC50" s="8">
        <f t="shared" si="42"/>
        <v>0</v>
      </c>
      <c r="DD50" s="8">
        <f t="shared" si="43"/>
        <v>0</v>
      </c>
      <c r="DE50" s="8">
        <f t="shared" si="44"/>
        <v>0</v>
      </c>
      <c r="DF50" s="8">
        <f t="shared" si="45"/>
        <v>0</v>
      </c>
      <c r="DG50" s="8">
        <f t="shared" si="46"/>
        <v>0</v>
      </c>
      <c r="DH50" s="8">
        <f t="shared" si="47"/>
        <v>0</v>
      </c>
      <c r="DI50" s="8">
        <f t="shared" si="48"/>
        <v>0</v>
      </c>
      <c r="DJ50" s="8">
        <f t="shared" si="49"/>
        <v>0</v>
      </c>
      <c r="DK50" s="8">
        <f t="shared" si="50"/>
        <v>0</v>
      </c>
      <c r="DL50" s="8">
        <f t="shared" si="51"/>
        <v>0</v>
      </c>
      <c r="DM50" s="8">
        <f t="shared" si="52"/>
        <v>0</v>
      </c>
      <c r="DN50" s="8">
        <f t="shared" si="53"/>
        <v>0</v>
      </c>
      <c r="DO50" s="177"/>
      <c r="DP50" s="141"/>
      <c r="DQ50" s="141" t="s">
        <v>417</v>
      </c>
      <c r="DR50" s="141"/>
      <c r="DS50" s="141"/>
      <c r="DT50" s="141"/>
      <c r="DU50" s="141"/>
      <c r="DV50" s="141"/>
      <c r="DW50" s="141"/>
      <c r="DX50" s="141"/>
      <c r="DY50" s="141"/>
      <c r="DZ50" s="141"/>
      <c r="EA50" s="141"/>
      <c r="EB50" s="141"/>
      <c r="EC50" s="141"/>
      <c r="ED50" s="141"/>
      <c r="EE50" s="141"/>
      <c r="EF50" s="141" t="s">
        <v>417</v>
      </c>
      <c r="EG50" s="141" t="s">
        <v>417</v>
      </c>
      <c r="EH50" s="141" t="s">
        <v>417</v>
      </c>
      <c r="EI50" s="141"/>
      <c r="EJ50" s="142" t="s">
        <v>417</v>
      </c>
      <c r="EK50" s="180"/>
    </row>
    <row r="51" spans="2:141" x14ac:dyDescent="0.25">
      <c r="B51" s="69" t="str">
        <f>IF(Profession="","",IF(HLOOKUP(Profession,Skills!$DO$3:$EK$126,ROW(D51)-2,FALSE)="","",HLOOKUP(Profession,Skills!$DO$3:$EK$126,ROW(D51)-2,FALSE)))</f>
        <v/>
      </c>
      <c r="C51" s="32"/>
      <c r="D51" s="35" t="s">
        <v>83</v>
      </c>
      <c r="E51" s="35" t="str">
        <f>D51</f>
        <v>Magical Expertise</v>
      </c>
      <c r="F51" s="164" t="s">
        <v>263</v>
      </c>
      <c r="G51" s="33">
        <f ca="1">IF(OR(I51+J51+K51+L51&lt;=0),0,I51+J51+K51+L51)</f>
        <v>0</v>
      </c>
      <c r="H51" s="33">
        <f ca="1">SUM(O51:(OFFSET(O51,0,Level)))</f>
        <v>0</v>
      </c>
      <c r="I51" s="33">
        <f t="shared" ca="1" si="95"/>
        <v>-25</v>
      </c>
      <c r="J51" s="33">
        <f t="shared" si="92"/>
        <v>0</v>
      </c>
      <c r="K51" s="33">
        <f t="shared" ca="1" si="96"/>
        <v>0</v>
      </c>
      <c r="L51" s="168"/>
      <c r="M51" s="33" t="str">
        <f t="shared" si="93"/>
        <v>-</v>
      </c>
      <c r="N51" s="33" t="str">
        <f t="shared" si="94"/>
        <v>9/12</v>
      </c>
      <c r="O51" s="131"/>
      <c r="P51" s="168"/>
      <c r="Q51" s="168"/>
      <c r="R51" s="168"/>
      <c r="S51" s="168"/>
      <c r="T51" s="168"/>
      <c r="U51" s="164"/>
      <c r="V51" s="164"/>
      <c r="W51" s="164"/>
      <c r="X51" s="164"/>
      <c r="Y51" s="164"/>
      <c r="Z51" s="164"/>
      <c r="AA51" s="164"/>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73"/>
      <c r="BO51" s="27" t="str">
        <f t="shared" si="70"/>
        <v>9</v>
      </c>
      <c r="BP51" s="8" t="str">
        <f t="shared" si="71"/>
        <v>12</v>
      </c>
      <c r="BQ51" s="8">
        <f t="shared" si="72"/>
        <v>0</v>
      </c>
      <c r="BR51" s="8">
        <f t="shared" si="73"/>
        <v>0</v>
      </c>
      <c r="BS51" s="8">
        <f t="shared" si="74"/>
        <v>0</v>
      </c>
      <c r="BT51" s="8">
        <f t="shared" si="75"/>
        <v>0</v>
      </c>
      <c r="BU51" s="8">
        <f t="shared" si="76"/>
        <v>0</v>
      </c>
      <c r="BV51" s="8">
        <f t="shared" si="77"/>
        <v>0</v>
      </c>
      <c r="BW51" s="8">
        <f t="shared" si="78"/>
        <v>0</v>
      </c>
      <c r="BX51" s="8">
        <f t="shared" si="79"/>
        <v>0</v>
      </c>
      <c r="BY51" s="8">
        <f t="shared" si="80"/>
        <v>0</v>
      </c>
      <c r="BZ51" s="8">
        <f t="shared" si="81"/>
        <v>0</v>
      </c>
      <c r="CA51" s="8">
        <f t="shared" si="82"/>
        <v>0</v>
      </c>
      <c r="CB51" s="8">
        <f t="shared" si="83"/>
        <v>0</v>
      </c>
      <c r="CC51" s="8">
        <f t="shared" si="84"/>
        <v>0</v>
      </c>
      <c r="CD51" s="8">
        <f t="shared" si="85"/>
        <v>0</v>
      </c>
      <c r="CE51" s="8">
        <f t="shared" si="86"/>
        <v>0</v>
      </c>
      <c r="CF51" s="8">
        <f t="shared" si="87"/>
        <v>0</v>
      </c>
      <c r="CG51" s="8">
        <f t="shared" si="88"/>
        <v>0</v>
      </c>
      <c r="CH51" s="8">
        <f t="shared" si="89"/>
        <v>0</v>
      </c>
      <c r="CI51" s="8">
        <f t="shared" si="90"/>
        <v>0</v>
      </c>
      <c r="CJ51" s="8">
        <f t="shared" si="91"/>
        <v>0</v>
      </c>
      <c r="CK51" s="8">
        <f t="shared" si="91"/>
        <v>0</v>
      </c>
      <c r="CL51" s="8">
        <f t="shared" si="91"/>
        <v>0</v>
      </c>
      <c r="CM51" s="8">
        <f t="shared" si="91"/>
        <v>0</v>
      </c>
      <c r="CN51" s="8">
        <f t="shared" si="91"/>
        <v>0</v>
      </c>
      <c r="CO51" s="8">
        <f t="shared" si="91"/>
        <v>0</v>
      </c>
      <c r="CP51" s="8">
        <f t="shared" si="91"/>
        <v>0</v>
      </c>
      <c r="CQ51" s="8">
        <f t="shared" si="30"/>
        <v>0</v>
      </c>
      <c r="CR51" s="8">
        <f t="shared" si="31"/>
        <v>0</v>
      </c>
      <c r="CS51" s="8">
        <f t="shared" si="32"/>
        <v>0</v>
      </c>
      <c r="CT51" s="8">
        <f t="shared" si="33"/>
        <v>0</v>
      </c>
      <c r="CU51" s="8">
        <f t="shared" si="34"/>
        <v>0</v>
      </c>
      <c r="CV51" s="8">
        <f t="shared" si="35"/>
        <v>0</v>
      </c>
      <c r="CW51" s="8">
        <f t="shared" si="36"/>
        <v>0</v>
      </c>
      <c r="CX51" s="8">
        <f t="shared" si="37"/>
        <v>0</v>
      </c>
      <c r="CY51" s="8">
        <f t="shared" si="38"/>
        <v>0</v>
      </c>
      <c r="CZ51" s="8">
        <f t="shared" si="39"/>
        <v>0</v>
      </c>
      <c r="DA51" s="8">
        <f t="shared" si="40"/>
        <v>0</v>
      </c>
      <c r="DB51" s="8">
        <f t="shared" si="41"/>
        <v>0</v>
      </c>
      <c r="DC51" s="8">
        <f t="shared" si="42"/>
        <v>0</v>
      </c>
      <c r="DD51" s="8">
        <f t="shared" si="43"/>
        <v>0</v>
      </c>
      <c r="DE51" s="8">
        <f t="shared" si="44"/>
        <v>0</v>
      </c>
      <c r="DF51" s="8">
        <f t="shared" si="45"/>
        <v>0</v>
      </c>
      <c r="DG51" s="8">
        <f t="shared" si="46"/>
        <v>0</v>
      </c>
      <c r="DH51" s="8">
        <f t="shared" si="47"/>
        <v>0</v>
      </c>
      <c r="DI51" s="8">
        <f t="shared" si="48"/>
        <v>0</v>
      </c>
      <c r="DJ51" s="8">
        <f t="shared" si="49"/>
        <v>0</v>
      </c>
      <c r="DK51" s="8">
        <f t="shared" si="50"/>
        <v>0</v>
      </c>
      <c r="DL51" s="8">
        <f t="shared" si="51"/>
        <v>0</v>
      </c>
      <c r="DM51" s="8">
        <f t="shared" si="52"/>
        <v>0</v>
      </c>
      <c r="DN51" s="8">
        <f t="shared" si="53"/>
        <v>0</v>
      </c>
      <c r="DO51" s="177"/>
      <c r="DP51" s="141"/>
      <c r="DQ51" s="141"/>
      <c r="DR51" s="141"/>
      <c r="DS51" s="141"/>
      <c r="DT51" s="141"/>
      <c r="DU51" s="141"/>
      <c r="DV51" s="141"/>
      <c r="DW51" s="141"/>
      <c r="DX51" s="141"/>
      <c r="DY51" s="141"/>
      <c r="DZ51" s="141"/>
      <c r="EA51" s="141" t="s">
        <v>417</v>
      </c>
      <c r="EB51" s="141" t="s">
        <v>417</v>
      </c>
      <c r="EC51" s="141" t="s">
        <v>417</v>
      </c>
      <c r="ED51" s="141" t="s">
        <v>417</v>
      </c>
      <c r="EE51" s="141" t="s">
        <v>417</v>
      </c>
      <c r="EF51" s="141" t="s">
        <v>417</v>
      </c>
      <c r="EG51" s="141" t="s">
        <v>417</v>
      </c>
      <c r="EH51" s="141" t="s">
        <v>417</v>
      </c>
      <c r="EI51" s="141" t="s">
        <v>417</v>
      </c>
      <c r="EJ51" s="142" t="s">
        <v>417</v>
      </c>
      <c r="EK51" s="180"/>
    </row>
    <row r="52" spans="2:141" x14ac:dyDescent="0.25">
      <c r="B52" s="69" t="str">
        <f>IF(Profession="","",IF(HLOOKUP(Profession,Skills!$DO$3:$EK$126,ROW(D52)-2,FALSE)="","",HLOOKUP(Profession,Skills!$DO$3:$EK$126,ROW(D52)-2,FALSE)))</f>
        <v/>
      </c>
      <c r="C52" s="32"/>
      <c r="D52" s="35" t="s">
        <v>83</v>
      </c>
      <c r="E52" s="35" t="str">
        <f>D52</f>
        <v>Magical Expertise</v>
      </c>
      <c r="F52" s="164" t="s">
        <v>264</v>
      </c>
      <c r="G52" s="33">
        <f t="shared" ref="G52:G53" ca="1" si="97">IF(OR(I52+J52+K52+L52&lt;=0),0,I52+J52+K52+L52)</f>
        <v>0</v>
      </c>
      <c r="H52" s="33">
        <f ca="1">SUM(O52:(OFFSET(O52,0,Level)))</f>
        <v>0</v>
      </c>
      <c r="I52" s="33">
        <f t="shared" ca="1" si="95"/>
        <v>-25</v>
      </c>
      <c r="J52" s="33">
        <f t="shared" si="92"/>
        <v>0</v>
      </c>
      <c r="K52" s="33">
        <f t="shared" ca="1" si="96"/>
        <v>0</v>
      </c>
      <c r="L52" s="168"/>
      <c r="M52" s="33" t="str">
        <f t="shared" si="93"/>
        <v>-</v>
      </c>
      <c r="N52" s="33" t="str">
        <f t="shared" si="94"/>
        <v>9/12</v>
      </c>
      <c r="O52" s="131"/>
      <c r="P52" s="168"/>
      <c r="Q52" s="168"/>
      <c r="R52" s="168"/>
      <c r="S52" s="168"/>
      <c r="T52" s="168"/>
      <c r="U52" s="164"/>
      <c r="V52" s="164"/>
      <c r="W52" s="164"/>
      <c r="X52" s="164"/>
      <c r="Y52" s="164"/>
      <c r="Z52" s="164"/>
      <c r="AA52" s="164"/>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73"/>
      <c r="BO52" s="27" t="str">
        <f t="shared" si="70"/>
        <v>9</v>
      </c>
      <c r="BP52" s="8" t="str">
        <f t="shared" si="71"/>
        <v>12</v>
      </c>
      <c r="BQ52" s="8">
        <f t="shared" si="72"/>
        <v>0</v>
      </c>
      <c r="BR52" s="8">
        <f t="shared" si="73"/>
        <v>0</v>
      </c>
      <c r="BS52" s="8">
        <f t="shared" si="74"/>
        <v>0</v>
      </c>
      <c r="BT52" s="8">
        <f t="shared" si="75"/>
        <v>0</v>
      </c>
      <c r="BU52" s="8">
        <f t="shared" si="76"/>
        <v>0</v>
      </c>
      <c r="BV52" s="8">
        <f t="shared" si="77"/>
        <v>0</v>
      </c>
      <c r="BW52" s="8">
        <f t="shared" si="78"/>
        <v>0</v>
      </c>
      <c r="BX52" s="8">
        <f t="shared" si="79"/>
        <v>0</v>
      </c>
      <c r="BY52" s="8">
        <f t="shared" si="80"/>
        <v>0</v>
      </c>
      <c r="BZ52" s="8">
        <f t="shared" si="81"/>
        <v>0</v>
      </c>
      <c r="CA52" s="8">
        <f t="shared" si="82"/>
        <v>0</v>
      </c>
      <c r="CB52" s="8">
        <f t="shared" si="83"/>
        <v>0</v>
      </c>
      <c r="CC52" s="8">
        <f t="shared" si="84"/>
        <v>0</v>
      </c>
      <c r="CD52" s="8">
        <f t="shared" si="85"/>
        <v>0</v>
      </c>
      <c r="CE52" s="8">
        <f t="shared" si="86"/>
        <v>0</v>
      </c>
      <c r="CF52" s="8">
        <f t="shared" si="87"/>
        <v>0</v>
      </c>
      <c r="CG52" s="8">
        <f t="shared" si="88"/>
        <v>0</v>
      </c>
      <c r="CH52" s="8">
        <f t="shared" si="89"/>
        <v>0</v>
      </c>
      <c r="CI52" s="8">
        <f t="shared" si="90"/>
        <v>0</v>
      </c>
      <c r="CJ52" s="8">
        <f t="shared" si="91"/>
        <v>0</v>
      </c>
      <c r="CK52" s="8">
        <f t="shared" si="91"/>
        <v>0</v>
      </c>
      <c r="CL52" s="8">
        <f t="shared" si="91"/>
        <v>0</v>
      </c>
      <c r="CM52" s="8">
        <f t="shared" si="91"/>
        <v>0</v>
      </c>
      <c r="CN52" s="8">
        <f t="shared" si="91"/>
        <v>0</v>
      </c>
      <c r="CO52" s="8">
        <f t="shared" si="91"/>
        <v>0</v>
      </c>
      <c r="CP52" s="8">
        <f t="shared" si="91"/>
        <v>0</v>
      </c>
      <c r="CQ52" s="8">
        <f t="shared" si="30"/>
        <v>0</v>
      </c>
      <c r="CR52" s="8">
        <f t="shared" si="31"/>
        <v>0</v>
      </c>
      <c r="CS52" s="8">
        <f t="shared" si="32"/>
        <v>0</v>
      </c>
      <c r="CT52" s="8">
        <f t="shared" si="33"/>
        <v>0</v>
      </c>
      <c r="CU52" s="8">
        <f t="shared" si="34"/>
        <v>0</v>
      </c>
      <c r="CV52" s="8">
        <f t="shared" si="35"/>
        <v>0</v>
      </c>
      <c r="CW52" s="8">
        <f t="shared" si="36"/>
        <v>0</v>
      </c>
      <c r="CX52" s="8">
        <f t="shared" si="37"/>
        <v>0</v>
      </c>
      <c r="CY52" s="8">
        <f t="shared" si="38"/>
        <v>0</v>
      </c>
      <c r="CZ52" s="8">
        <f t="shared" si="39"/>
        <v>0</v>
      </c>
      <c r="DA52" s="8">
        <f t="shared" si="40"/>
        <v>0</v>
      </c>
      <c r="DB52" s="8">
        <f t="shared" si="41"/>
        <v>0</v>
      </c>
      <c r="DC52" s="8">
        <f t="shared" si="42"/>
        <v>0</v>
      </c>
      <c r="DD52" s="8">
        <f t="shared" si="43"/>
        <v>0</v>
      </c>
      <c r="DE52" s="8">
        <f t="shared" si="44"/>
        <v>0</v>
      </c>
      <c r="DF52" s="8">
        <f t="shared" si="45"/>
        <v>0</v>
      </c>
      <c r="DG52" s="8">
        <f t="shared" si="46"/>
        <v>0</v>
      </c>
      <c r="DH52" s="8">
        <f t="shared" si="47"/>
        <v>0</v>
      </c>
      <c r="DI52" s="8">
        <f t="shared" si="48"/>
        <v>0</v>
      </c>
      <c r="DJ52" s="8">
        <f t="shared" si="49"/>
        <v>0</v>
      </c>
      <c r="DK52" s="8">
        <f t="shared" si="50"/>
        <v>0</v>
      </c>
      <c r="DL52" s="8">
        <f t="shared" si="51"/>
        <v>0</v>
      </c>
      <c r="DM52" s="8">
        <f t="shared" si="52"/>
        <v>0</v>
      </c>
      <c r="DN52" s="8">
        <f t="shared" si="53"/>
        <v>0</v>
      </c>
      <c r="DO52" s="177"/>
      <c r="DP52" s="141"/>
      <c r="DQ52" s="141"/>
      <c r="DR52" s="141"/>
      <c r="DS52" s="141"/>
      <c r="DT52" s="141"/>
      <c r="DU52" s="141"/>
      <c r="DV52" s="141"/>
      <c r="DW52" s="141"/>
      <c r="DX52" s="141"/>
      <c r="DY52" s="141"/>
      <c r="DZ52" s="141"/>
      <c r="EA52" s="141" t="s">
        <v>417</v>
      </c>
      <c r="EB52" s="141" t="s">
        <v>417</v>
      </c>
      <c r="EC52" s="141" t="s">
        <v>417</v>
      </c>
      <c r="ED52" s="141" t="s">
        <v>417</v>
      </c>
      <c r="EE52" s="141" t="s">
        <v>417</v>
      </c>
      <c r="EF52" s="141" t="s">
        <v>417</v>
      </c>
      <c r="EG52" s="141" t="s">
        <v>417</v>
      </c>
      <c r="EH52" s="141" t="s">
        <v>417</v>
      </c>
      <c r="EI52" s="141" t="s">
        <v>417</v>
      </c>
      <c r="EJ52" s="142" t="s">
        <v>417</v>
      </c>
      <c r="EK52" s="180"/>
    </row>
    <row r="53" spans="2:141" x14ac:dyDescent="0.25">
      <c r="B53" s="69" t="str">
        <f>IF(Profession="","",IF(HLOOKUP(Profession,Skills!$DO$3:$EK$126,ROW(D53)-2,FALSE)="","",HLOOKUP(Profession,Skills!$DO$3:$EK$126,ROW(D53)-2,FALSE)))</f>
        <v/>
      </c>
      <c r="C53" s="32"/>
      <c r="D53" s="35" t="s">
        <v>83</v>
      </c>
      <c r="E53" s="35" t="str">
        <f>D53</f>
        <v>Magical Expertise</v>
      </c>
      <c r="F53" s="164" t="s">
        <v>265</v>
      </c>
      <c r="G53" s="33">
        <f t="shared" ca="1" si="97"/>
        <v>0</v>
      </c>
      <c r="H53" s="33">
        <f ca="1">SUM(O53:(OFFSET(O53,0,Level)))</f>
        <v>0</v>
      </c>
      <c r="I53" s="33">
        <f t="shared" ca="1" si="95"/>
        <v>-25</v>
      </c>
      <c r="J53" s="33">
        <f t="shared" si="92"/>
        <v>0</v>
      </c>
      <c r="K53" s="33">
        <f t="shared" ca="1" si="96"/>
        <v>0</v>
      </c>
      <c r="L53" s="168"/>
      <c r="M53" s="33" t="str">
        <f t="shared" si="93"/>
        <v>-</v>
      </c>
      <c r="N53" s="33" t="str">
        <f t="shared" si="94"/>
        <v>9/12</v>
      </c>
      <c r="O53" s="131"/>
      <c r="P53" s="168"/>
      <c r="Q53" s="168"/>
      <c r="R53" s="168"/>
      <c r="S53" s="168"/>
      <c r="T53" s="168"/>
      <c r="U53" s="164"/>
      <c r="V53" s="164"/>
      <c r="W53" s="164"/>
      <c r="X53" s="164"/>
      <c r="Y53" s="164"/>
      <c r="Z53" s="164"/>
      <c r="AA53" s="164"/>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73"/>
      <c r="BO53" s="27" t="str">
        <f t="shared" si="70"/>
        <v>9</v>
      </c>
      <c r="BP53" s="8" t="str">
        <f t="shared" si="71"/>
        <v>12</v>
      </c>
      <c r="BQ53" s="8">
        <f t="shared" si="72"/>
        <v>0</v>
      </c>
      <c r="BR53" s="8">
        <f t="shared" si="73"/>
        <v>0</v>
      </c>
      <c r="BS53" s="8">
        <f t="shared" si="74"/>
        <v>0</v>
      </c>
      <c r="BT53" s="8">
        <f t="shared" si="75"/>
        <v>0</v>
      </c>
      <c r="BU53" s="8">
        <f t="shared" si="76"/>
        <v>0</v>
      </c>
      <c r="BV53" s="8">
        <f t="shared" si="77"/>
        <v>0</v>
      </c>
      <c r="BW53" s="8">
        <f t="shared" si="78"/>
        <v>0</v>
      </c>
      <c r="BX53" s="8">
        <f t="shared" si="79"/>
        <v>0</v>
      </c>
      <c r="BY53" s="8">
        <f t="shared" si="80"/>
        <v>0</v>
      </c>
      <c r="BZ53" s="8">
        <f t="shared" si="81"/>
        <v>0</v>
      </c>
      <c r="CA53" s="8">
        <f t="shared" si="82"/>
        <v>0</v>
      </c>
      <c r="CB53" s="8">
        <f t="shared" si="83"/>
        <v>0</v>
      </c>
      <c r="CC53" s="8">
        <f t="shared" si="84"/>
        <v>0</v>
      </c>
      <c r="CD53" s="8">
        <f t="shared" si="85"/>
        <v>0</v>
      </c>
      <c r="CE53" s="8">
        <f t="shared" si="86"/>
        <v>0</v>
      </c>
      <c r="CF53" s="8">
        <f t="shared" si="87"/>
        <v>0</v>
      </c>
      <c r="CG53" s="8">
        <f t="shared" si="88"/>
        <v>0</v>
      </c>
      <c r="CH53" s="8">
        <f t="shared" si="89"/>
        <v>0</v>
      </c>
      <c r="CI53" s="8">
        <f t="shared" si="90"/>
        <v>0</v>
      </c>
      <c r="CJ53" s="8">
        <f t="shared" si="91"/>
        <v>0</v>
      </c>
      <c r="CK53" s="8">
        <f t="shared" si="91"/>
        <v>0</v>
      </c>
      <c r="CL53" s="8">
        <f t="shared" si="91"/>
        <v>0</v>
      </c>
      <c r="CM53" s="8">
        <f t="shared" si="91"/>
        <v>0</v>
      </c>
      <c r="CN53" s="8">
        <f t="shared" si="91"/>
        <v>0</v>
      </c>
      <c r="CO53" s="8">
        <f t="shared" si="91"/>
        <v>0</v>
      </c>
      <c r="CP53" s="8">
        <f t="shared" si="91"/>
        <v>0</v>
      </c>
      <c r="CQ53" s="8">
        <f t="shared" si="30"/>
        <v>0</v>
      </c>
      <c r="CR53" s="8">
        <f t="shared" si="31"/>
        <v>0</v>
      </c>
      <c r="CS53" s="8">
        <f t="shared" si="32"/>
        <v>0</v>
      </c>
      <c r="CT53" s="8">
        <f t="shared" si="33"/>
        <v>0</v>
      </c>
      <c r="CU53" s="8">
        <f t="shared" si="34"/>
        <v>0</v>
      </c>
      <c r="CV53" s="8">
        <f t="shared" si="35"/>
        <v>0</v>
      </c>
      <c r="CW53" s="8">
        <f t="shared" si="36"/>
        <v>0</v>
      </c>
      <c r="CX53" s="8">
        <f t="shared" si="37"/>
        <v>0</v>
      </c>
      <c r="CY53" s="8">
        <f t="shared" si="38"/>
        <v>0</v>
      </c>
      <c r="CZ53" s="8">
        <f t="shared" si="39"/>
        <v>0</v>
      </c>
      <c r="DA53" s="8">
        <f t="shared" si="40"/>
        <v>0</v>
      </c>
      <c r="DB53" s="8">
        <f t="shared" si="41"/>
        <v>0</v>
      </c>
      <c r="DC53" s="8">
        <f t="shared" si="42"/>
        <v>0</v>
      </c>
      <c r="DD53" s="8">
        <f t="shared" si="43"/>
        <v>0</v>
      </c>
      <c r="DE53" s="8">
        <f t="shared" si="44"/>
        <v>0</v>
      </c>
      <c r="DF53" s="8">
        <f t="shared" si="45"/>
        <v>0</v>
      </c>
      <c r="DG53" s="8">
        <f t="shared" si="46"/>
        <v>0</v>
      </c>
      <c r="DH53" s="8">
        <f t="shared" si="47"/>
        <v>0</v>
      </c>
      <c r="DI53" s="8">
        <f t="shared" si="48"/>
        <v>0</v>
      </c>
      <c r="DJ53" s="8">
        <f t="shared" si="49"/>
        <v>0</v>
      </c>
      <c r="DK53" s="8">
        <f t="shared" si="50"/>
        <v>0</v>
      </c>
      <c r="DL53" s="8">
        <f t="shared" si="51"/>
        <v>0</v>
      </c>
      <c r="DM53" s="8">
        <f t="shared" si="52"/>
        <v>0</v>
      </c>
      <c r="DN53" s="8">
        <f t="shared" si="53"/>
        <v>0</v>
      </c>
      <c r="DO53" s="177"/>
      <c r="DP53" s="141"/>
      <c r="DQ53" s="141"/>
      <c r="DR53" s="141"/>
      <c r="DS53" s="141"/>
      <c r="DT53" s="141"/>
      <c r="DU53" s="141"/>
      <c r="DV53" s="141"/>
      <c r="DW53" s="141"/>
      <c r="DX53" s="141"/>
      <c r="DY53" s="141"/>
      <c r="DZ53" s="141"/>
      <c r="EA53" s="141" t="s">
        <v>417</v>
      </c>
      <c r="EB53" s="141" t="s">
        <v>417</v>
      </c>
      <c r="EC53" s="141" t="s">
        <v>417</v>
      </c>
      <c r="ED53" s="141" t="s">
        <v>417</v>
      </c>
      <c r="EE53" s="141" t="s">
        <v>417</v>
      </c>
      <c r="EF53" s="141" t="s">
        <v>417</v>
      </c>
      <c r="EG53" s="141" t="s">
        <v>417</v>
      </c>
      <c r="EH53" s="141" t="s">
        <v>417</v>
      </c>
      <c r="EI53" s="141" t="s">
        <v>417</v>
      </c>
      <c r="EJ53" s="142" t="s">
        <v>417</v>
      </c>
      <c r="EK53" s="180"/>
    </row>
    <row r="54" spans="2:141" x14ac:dyDescent="0.25">
      <c r="B54" s="69" t="str">
        <f>IF(Profession="","",IF(HLOOKUP(Profession,Skills!$DO$3:$EK$126,ROW(D54)-2,FALSE)="","",HLOOKUP(Profession,Skills!$DO$3:$EK$126,ROW(D54)-2,FALSE)))</f>
        <v/>
      </c>
      <c r="C54" s="32"/>
      <c r="D54" s="35" t="s">
        <v>84</v>
      </c>
      <c r="E54" s="35" t="s">
        <v>266</v>
      </c>
      <c r="F54" s="164"/>
      <c r="G54" s="33">
        <f t="shared" ca="1" si="5"/>
        <v>-17</v>
      </c>
      <c r="H54" s="33">
        <f ca="1">SUM(O54:(OFFSET(O54,0,Level)))</f>
        <v>0</v>
      </c>
      <c r="I54" s="33">
        <f t="shared" ca="1" si="95"/>
        <v>-25</v>
      </c>
      <c r="J54" s="33">
        <f t="shared" si="92"/>
        <v>8</v>
      </c>
      <c r="K54" s="33">
        <f t="shared" ca="1" si="96"/>
        <v>0</v>
      </c>
      <c r="L54" s="168"/>
      <c r="M54" s="33" t="str">
        <f t="shared" si="93"/>
        <v>Em/In/Pr</v>
      </c>
      <c r="N54" s="33" t="str">
        <f t="shared" si="94"/>
        <v>9/12</v>
      </c>
      <c r="O54" s="131"/>
      <c r="P54" s="168"/>
      <c r="Q54" s="168"/>
      <c r="R54" s="168"/>
      <c r="S54" s="168"/>
      <c r="T54" s="168"/>
      <c r="U54" s="164"/>
      <c r="V54" s="164"/>
      <c r="W54" s="164"/>
      <c r="X54" s="164"/>
      <c r="Y54" s="164"/>
      <c r="Z54" s="164"/>
      <c r="AA54" s="164"/>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73"/>
      <c r="BO54" s="27" t="str">
        <f t="shared" si="70"/>
        <v>9</v>
      </c>
      <c r="BP54" s="8" t="str">
        <f t="shared" si="71"/>
        <v>12</v>
      </c>
      <c r="BQ54" s="8">
        <f t="shared" si="72"/>
        <v>0</v>
      </c>
      <c r="BR54" s="8">
        <f t="shared" si="73"/>
        <v>0</v>
      </c>
      <c r="BS54" s="8">
        <f t="shared" si="74"/>
        <v>0</v>
      </c>
      <c r="BT54" s="8">
        <f t="shared" si="75"/>
        <v>0</v>
      </c>
      <c r="BU54" s="8">
        <f t="shared" si="76"/>
        <v>0</v>
      </c>
      <c r="BV54" s="8">
        <f t="shared" si="77"/>
        <v>0</v>
      </c>
      <c r="BW54" s="8">
        <f t="shared" si="78"/>
        <v>0</v>
      </c>
      <c r="BX54" s="8">
        <f t="shared" si="79"/>
        <v>0</v>
      </c>
      <c r="BY54" s="8">
        <f t="shared" si="80"/>
        <v>0</v>
      </c>
      <c r="BZ54" s="8">
        <f t="shared" si="81"/>
        <v>0</v>
      </c>
      <c r="CA54" s="8">
        <f t="shared" si="82"/>
        <v>0</v>
      </c>
      <c r="CB54" s="8">
        <f t="shared" si="83"/>
        <v>0</v>
      </c>
      <c r="CC54" s="8">
        <f t="shared" si="84"/>
        <v>0</v>
      </c>
      <c r="CD54" s="8">
        <f t="shared" si="85"/>
        <v>0</v>
      </c>
      <c r="CE54" s="8">
        <f t="shared" si="86"/>
        <v>0</v>
      </c>
      <c r="CF54" s="8">
        <f t="shared" si="87"/>
        <v>0</v>
      </c>
      <c r="CG54" s="8">
        <f t="shared" si="88"/>
        <v>0</v>
      </c>
      <c r="CH54" s="8">
        <f t="shared" si="89"/>
        <v>0</v>
      </c>
      <c r="CI54" s="8">
        <f t="shared" si="90"/>
        <v>0</v>
      </c>
      <c r="CJ54" s="8">
        <f t="shared" si="91"/>
        <v>0</v>
      </c>
      <c r="CK54" s="8">
        <f t="shared" si="91"/>
        <v>0</v>
      </c>
      <c r="CL54" s="8">
        <f t="shared" si="91"/>
        <v>0</v>
      </c>
      <c r="CM54" s="8">
        <f t="shared" si="91"/>
        <v>0</v>
      </c>
      <c r="CN54" s="8">
        <f t="shared" si="91"/>
        <v>0</v>
      </c>
      <c r="CO54" s="8">
        <f t="shared" si="91"/>
        <v>0</v>
      </c>
      <c r="CP54" s="8">
        <f t="shared" si="91"/>
        <v>0</v>
      </c>
      <c r="CQ54" s="8">
        <f t="shared" si="30"/>
        <v>0</v>
      </c>
      <c r="CR54" s="8">
        <f t="shared" si="31"/>
        <v>0</v>
      </c>
      <c r="CS54" s="8">
        <f t="shared" si="32"/>
        <v>0</v>
      </c>
      <c r="CT54" s="8">
        <f t="shared" si="33"/>
        <v>0</v>
      </c>
      <c r="CU54" s="8">
        <f t="shared" si="34"/>
        <v>0</v>
      </c>
      <c r="CV54" s="8">
        <f t="shared" si="35"/>
        <v>0</v>
      </c>
      <c r="CW54" s="8">
        <f t="shared" si="36"/>
        <v>0</v>
      </c>
      <c r="CX54" s="8">
        <f t="shared" si="37"/>
        <v>0</v>
      </c>
      <c r="CY54" s="8">
        <f t="shared" si="38"/>
        <v>0</v>
      </c>
      <c r="CZ54" s="8">
        <f t="shared" si="39"/>
        <v>0</v>
      </c>
      <c r="DA54" s="8">
        <f t="shared" si="40"/>
        <v>0</v>
      </c>
      <c r="DB54" s="8">
        <f t="shared" si="41"/>
        <v>0</v>
      </c>
      <c r="DC54" s="8">
        <f t="shared" si="42"/>
        <v>0</v>
      </c>
      <c r="DD54" s="8">
        <f t="shared" si="43"/>
        <v>0</v>
      </c>
      <c r="DE54" s="8">
        <f t="shared" si="44"/>
        <v>0</v>
      </c>
      <c r="DF54" s="8">
        <f t="shared" si="45"/>
        <v>0</v>
      </c>
      <c r="DG54" s="8">
        <f t="shared" si="46"/>
        <v>0</v>
      </c>
      <c r="DH54" s="8">
        <f t="shared" si="47"/>
        <v>0</v>
      </c>
      <c r="DI54" s="8">
        <f t="shared" si="48"/>
        <v>0</v>
      </c>
      <c r="DJ54" s="8">
        <f t="shared" si="49"/>
        <v>0</v>
      </c>
      <c r="DK54" s="8">
        <f t="shared" si="50"/>
        <v>0</v>
      </c>
      <c r="DL54" s="8">
        <f t="shared" si="51"/>
        <v>0</v>
      </c>
      <c r="DM54" s="8">
        <f t="shared" si="52"/>
        <v>0</v>
      </c>
      <c r="DN54" s="8">
        <f t="shared" si="53"/>
        <v>0</v>
      </c>
      <c r="DO54" s="177"/>
      <c r="DP54" s="141"/>
      <c r="DQ54" s="141"/>
      <c r="DR54" s="141"/>
      <c r="DS54" s="141"/>
      <c r="DT54" s="141"/>
      <c r="DU54" s="141"/>
      <c r="DV54" s="141"/>
      <c r="DW54" s="141"/>
      <c r="DX54" s="141"/>
      <c r="DY54" s="141"/>
      <c r="DZ54" s="141"/>
      <c r="EA54" s="141" t="s">
        <v>417</v>
      </c>
      <c r="EB54" s="141" t="s">
        <v>417</v>
      </c>
      <c r="EC54" s="141" t="s">
        <v>417</v>
      </c>
      <c r="ED54" s="141" t="s">
        <v>417</v>
      </c>
      <c r="EE54" s="141" t="s">
        <v>417</v>
      </c>
      <c r="EF54" s="141" t="s">
        <v>417</v>
      </c>
      <c r="EG54" s="141" t="s">
        <v>417</v>
      </c>
      <c r="EH54" s="141" t="s">
        <v>417</v>
      </c>
      <c r="EI54" s="141" t="s">
        <v>417</v>
      </c>
      <c r="EJ54" s="142" t="s">
        <v>417</v>
      </c>
      <c r="EK54" s="180"/>
    </row>
    <row r="55" spans="2:141" x14ac:dyDescent="0.25">
      <c r="B55" s="69"/>
      <c r="C55" s="32" t="s">
        <v>65</v>
      </c>
      <c r="D55" s="35"/>
      <c r="E55" s="35"/>
      <c r="F55" s="52"/>
      <c r="G55" s="33"/>
      <c r="H55" s="33"/>
      <c r="I55" s="33"/>
      <c r="J55" s="33"/>
      <c r="K55" s="33"/>
      <c r="L55" s="33"/>
      <c r="M55" s="33"/>
      <c r="N55" s="33"/>
      <c r="O55" s="51"/>
      <c r="P55" s="174"/>
      <c r="Q55" s="174"/>
      <c r="R55" s="174"/>
      <c r="S55" s="174"/>
      <c r="T55" s="174"/>
      <c r="U55" s="166"/>
      <c r="V55" s="166"/>
      <c r="W55" s="166"/>
      <c r="X55" s="166"/>
      <c r="Y55" s="166"/>
      <c r="Z55" s="166"/>
      <c r="AA55" s="166"/>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5"/>
      <c r="BO55" s="27" t="str">
        <f t="shared" si="70"/>
        <v/>
      </c>
      <c r="BP55" s="8" t="str">
        <f t="shared" si="71"/>
        <v/>
      </c>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169"/>
      <c r="DP55" s="35"/>
      <c r="DQ55" s="35"/>
      <c r="DR55" s="35"/>
      <c r="DS55" s="35"/>
      <c r="DT55" s="35"/>
      <c r="DU55" s="35"/>
      <c r="DV55" s="35"/>
      <c r="DW55" s="35"/>
      <c r="DX55" s="35"/>
      <c r="DY55" s="35"/>
      <c r="DZ55" s="35"/>
      <c r="EA55" s="35"/>
      <c r="EB55" s="35"/>
      <c r="EC55" s="35"/>
      <c r="ED55" s="35"/>
      <c r="EE55" s="35"/>
      <c r="EF55" s="35"/>
      <c r="EG55" s="35"/>
      <c r="EH55" s="35"/>
      <c r="EI55" s="35"/>
      <c r="EJ55" s="35"/>
      <c r="EK55" s="181"/>
    </row>
    <row r="56" spans="2:141" x14ac:dyDescent="0.25">
      <c r="B56" s="69" t="str">
        <f>IF(Profession="","",IF(HLOOKUP(Profession,Skills!$DO$3:$EK$126,ROW(D56)-2,FALSE)="","",HLOOKUP(Profession,Skills!$DO$3:$EK$126,ROW(D56)-2,FALSE)))</f>
        <v/>
      </c>
      <c r="C56" s="32"/>
      <c r="D56" s="35" t="s">
        <v>85</v>
      </c>
      <c r="E56" s="35" t="str">
        <f t="shared" ref="E56:E62" si="98">D56</f>
        <v>Animal Handling</v>
      </c>
      <c r="F56" s="164"/>
      <c r="G56" s="33">
        <f ca="1">SUM(I56:L56)</f>
        <v>-17</v>
      </c>
      <c r="H56" s="33">
        <f ca="1">SUM(O56:(OFFSET(O56,0,Level)))</f>
        <v>0</v>
      </c>
      <c r="I56" s="33">
        <f t="shared" ref="I56:I62" ca="1" si="99">IF(Level=0,"",VLOOKUP(H56,RankBonus,2,FALSE))</f>
        <v>-25</v>
      </c>
      <c r="J56" s="33">
        <f>IF(OR(M56="",M56="-"),0,VLOOKUP(MID(M56,1,2),StatBonuses,2,FALSE)+VLOOKUP(MID(M56,4,2),StatBonuses,2,FALSE)+VLOOKUP(MID(M56,7,2),StatBonuses,2,FALSE))</f>
        <v>8</v>
      </c>
      <c r="K56" s="33">
        <f t="shared" ref="K56:K62" ca="1" si="100">IF(Profession="",0,IF(Profession="No Profession",IF(B56="x",H56,0),(VLOOKUP(D56,PBSkills,MATCH(Profession,Professions,0)+2,FALSE)*H56)))</f>
        <v>0</v>
      </c>
      <c r="L56" s="168"/>
      <c r="M56" s="33" t="str">
        <f>IF(D56="","",VLOOKUP(D56,DPCosts,2,FALSE))</f>
        <v>Re/Em/Pr</v>
      </c>
      <c r="N56" s="33" t="str">
        <f>IF(OR(D56="", Profession=""),"",VLOOKUP(D56,DPCosts,MATCH(Profession,Professions,0)+2,FALSE))</f>
        <v>2/4</v>
      </c>
      <c r="O56" s="131" t="str">
        <f>IF(OR(D56="",Culture=""),"",VLOOKUP("Animal Handling",CultureRanks,MATCH(Culture,CultureList,0)+1,FALSE))</f>
        <v/>
      </c>
      <c r="P56" s="168"/>
      <c r="Q56" s="168"/>
      <c r="R56" s="168"/>
      <c r="S56" s="168"/>
      <c r="T56" s="168"/>
      <c r="U56" s="164"/>
      <c r="V56" s="164"/>
      <c r="W56" s="164"/>
      <c r="X56" s="164"/>
      <c r="Y56" s="164"/>
      <c r="Z56" s="164"/>
      <c r="AA56" s="164"/>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73"/>
      <c r="BO56" s="27" t="str">
        <f t="shared" si="70"/>
        <v>2</v>
      </c>
      <c r="BP56" s="8" t="str">
        <f t="shared" si="71"/>
        <v>4</v>
      </c>
      <c r="BQ56" s="8">
        <f t="shared" si="72"/>
        <v>0</v>
      </c>
      <c r="BR56" s="8">
        <f t="shared" si="73"/>
        <v>0</v>
      </c>
      <c r="BS56" s="8">
        <f t="shared" si="74"/>
        <v>0</v>
      </c>
      <c r="BT56" s="8">
        <f t="shared" si="75"/>
        <v>0</v>
      </c>
      <c r="BU56" s="8">
        <f t="shared" si="76"/>
        <v>0</v>
      </c>
      <c r="BV56" s="8">
        <f t="shared" si="77"/>
        <v>0</v>
      </c>
      <c r="BW56" s="8">
        <f t="shared" si="78"/>
        <v>0</v>
      </c>
      <c r="BX56" s="8">
        <f t="shared" si="79"/>
        <v>0</v>
      </c>
      <c r="BY56" s="8">
        <f t="shared" si="80"/>
        <v>0</v>
      </c>
      <c r="BZ56" s="8">
        <f t="shared" si="81"/>
        <v>0</v>
      </c>
      <c r="CA56" s="8">
        <f t="shared" si="82"/>
        <v>0</v>
      </c>
      <c r="CB56" s="8">
        <f t="shared" si="83"/>
        <v>0</v>
      </c>
      <c r="CC56" s="8">
        <f t="shared" si="84"/>
        <v>0</v>
      </c>
      <c r="CD56" s="8">
        <f t="shared" si="85"/>
        <v>0</v>
      </c>
      <c r="CE56" s="8">
        <f t="shared" si="86"/>
        <v>0</v>
      </c>
      <c r="CF56" s="8">
        <f t="shared" si="87"/>
        <v>0</v>
      </c>
      <c r="CG56" s="8">
        <f t="shared" si="88"/>
        <v>0</v>
      </c>
      <c r="CH56" s="8">
        <f t="shared" si="89"/>
        <v>0</v>
      </c>
      <c r="CI56" s="8">
        <f t="shared" si="90"/>
        <v>0</v>
      </c>
      <c r="CJ56" s="8">
        <f t="shared" ref="CJ56:DN56" si="101">IF(AI56=0,0,IF(AI56=1,INT($BO56),$BO56+$BP56*(AI56-1)))</f>
        <v>0</v>
      </c>
      <c r="CK56" s="8">
        <f t="shared" si="101"/>
        <v>0</v>
      </c>
      <c r="CL56" s="8">
        <f t="shared" si="101"/>
        <v>0</v>
      </c>
      <c r="CM56" s="8">
        <f t="shared" si="101"/>
        <v>0</v>
      </c>
      <c r="CN56" s="8">
        <f t="shared" si="101"/>
        <v>0</v>
      </c>
      <c r="CO56" s="8">
        <f t="shared" si="101"/>
        <v>0</v>
      </c>
      <c r="CP56" s="8">
        <f t="shared" si="101"/>
        <v>0</v>
      </c>
      <c r="CQ56" s="8">
        <f t="shared" si="101"/>
        <v>0</v>
      </c>
      <c r="CR56" s="8">
        <f t="shared" si="101"/>
        <v>0</v>
      </c>
      <c r="CS56" s="8">
        <f t="shared" si="101"/>
        <v>0</v>
      </c>
      <c r="CT56" s="8">
        <f t="shared" si="101"/>
        <v>0</v>
      </c>
      <c r="CU56" s="8">
        <f t="shared" si="101"/>
        <v>0</v>
      </c>
      <c r="CV56" s="8">
        <f t="shared" si="101"/>
        <v>0</v>
      </c>
      <c r="CW56" s="8">
        <f t="shared" si="101"/>
        <v>0</v>
      </c>
      <c r="CX56" s="8">
        <f t="shared" si="101"/>
        <v>0</v>
      </c>
      <c r="CY56" s="8">
        <f t="shared" si="101"/>
        <v>0</v>
      </c>
      <c r="CZ56" s="8">
        <f t="shared" si="101"/>
        <v>0</v>
      </c>
      <c r="DA56" s="8">
        <f t="shared" si="101"/>
        <v>0</v>
      </c>
      <c r="DB56" s="8">
        <f t="shared" si="101"/>
        <v>0</v>
      </c>
      <c r="DC56" s="8">
        <f t="shared" si="101"/>
        <v>0</v>
      </c>
      <c r="DD56" s="8">
        <f t="shared" si="101"/>
        <v>0</v>
      </c>
      <c r="DE56" s="8">
        <f t="shared" si="101"/>
        <v>0</v>
      </c>
      <c r="DF56" s="8">
        <f t="shared" si="101"/>
        <v>0</v>
      </c>
      <c r="DG56" s="8">
        <f t="shared" si="101"/>
        <v>0</v>
      </c>
      <c r="DH56" s="8">
        <f t="shared" si="101"/>
        <v>0</v>
      </c>
      <c r="DI56" s="8">
        <f t="shared" si="101"/>
        <v>0</v>
      </c>
      <c r="DJ56" s="8">
        <f t="shared" si="101"/>
        <v>0</v>
      </c>
      <c r="DK56" s="8">
        <f t="shared" si="101"/>
        <v>0</v>
      </c>
      <c r="DL56" s="8">
        <f t="shared" si="101"/>
        <v>0</v>
      </c>
      <c r="DM56" s="8">
        <f t="shared" si="101"/>
        <v>0</v>
      </c>
      <c r="DN56" s="8">
        <f t="shared" si="101"/>
        <v>0</v>
      </c>
      <c r="DO56" s="177"/>
      <c r="DP56" s="141"/>
      <c r="DQ56" s="141"/>
      <c r="DR56" s="141"/>
      <c r="DS56" s="141"/>
      <c r="DT56" s="141" t="s">
        <v>417</v>
      </c>
      <c r="DU56" s="141"/>
      <c r="DV56" s="141" t="s">
        <v>417</v>
      </c>
      <c r="DW56" s="141"/>
      <c r="DX56" s="141"/>
      <c r="DY56" s="141"/>
      <c r="DZ56" s="141"/>
      <c r="EA56" s="141"/>
      <c r="EB56" s="141"/>
      <c r="EC56" s="141" t="s">
        <v>417</v>
      </c>
      <c r="ED56" s="141"/>
      <c r="EE56" s="141"/>
      <c r="EF56" s="141"/>
      <c r="EG56" s="141"/>
      <c r="EH56" s="141"/>
      <c r="EI56" s="141"/>
      <c r="EJ56" s="142"/>
      <c r="EK56" s="180"/>
    </row>
    <row r="57" spans="2:141" x14ac:dyDescent="0.25">
      <c r="B57" s="69" t="str">
        <f>IF(Profession="","",IF(HLOOKUP(Profession,Skills!$DO$3:$EK$126,ROW(D57)-2,FALSE)="","",HLOOKUP(Profession,Skills!$DO$3:$EK$126,ROW(D57)-2,FALSE)))</f>
        <v/>
      </c>
      <c r="C57" s="32"/>
      <c r="D57" s="35" t="s">
        <v>85</v>
      </c>
      <c r="E57" s="35" t="str">
        <f t="shared" si="98"/>
        <v>Animal Handling</v>
      </c>
      <c r="F57" s="164"/>
      <c r="G57" s="33">
        <f t="shared" ca="1" si="5"/>
        <v>-17</v>
      </c>
      <c r="H57" s="33">
        <f ca="1">SUM(O57:(OFFSET(O57,0,Level)))</f>
        <v>0</v>
      </c>
      <c r="I57" s="33">
        <f t="shared" ca="1" si="99"/>
        <v>-25</v>
      </c>
      <c r="J57" s="33">
        <f t="shared" si="92"/>
        <v>8</v>
      </c>
      <c r="K57" s="33">
        <f t="shared" ca="1" si="100"/>
        <v>0</v>
      </c>
      <c r="L57" s="168"/>
      <c r="M57" s="33" t="str">
        <f t="shared" si="93"/>
        <v>Re/Em/Pr</v>
      </c>
      <c r="N57" s="33" t="str">
        <f t="shared" si="94"/>
        <v>2/4</v>
      </c>
      <c r="O57" s="131"/>
      <c r="P57" s="168"/>
      <c r="Q57" s="168"/>
      <c r="R57" s="168"/>
      <c r="S57" s="168"/>
      <c r="T57" s="168"/>
      <c r="U57" s="164"/>
      <c r="V57" s="164"/>
      <c r="W57" s="164"/>
      <c r="X57" s="164"/>
      <c r="Y57" s="164"/>
      <c r="Z57" s="164"/>
      <c r="AA57" s="164"/>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73"/>
      <c r="BO57" s="27" t="str">
        <f t="shared" si="70"/>
        <v>2</v>
      </c>
      <c r="BP57" s="8" t="str">
        <f t="shared" si="71"/>
        <v>4</v>
      </c>
      <c r="BQ57" s="8">
        <f t="shared" si="72"/>
        <v>0</v>
      </c>
      <c r="BR57" s="8">
        <f t="shared" si="73"/>
        <v>0</v>
      </c>
      <c r="BS57" s="8">
        <f t="shared" si="74"/>
        <v>0</v>
      </c>
      <c r="BT57" s="8">
        <f t="shared" si="75"/>
        <v>0</v>
      </c>
      <c r="BU57" s="8">
        <f t="shared" si="76"/>
        <v>0</v>
      </c>
      <c r="BV57" s="8">
        <f t="shared" si="77"/>
        <v>0</v>
      </c>
      <c r="BW57" s="8">
        <f t="shared" si="78"/>
        <v>0</v>
      </c>
      <c r="BX57" s="8">
        <f t="shared" si="79"/>
        <v>0</v>
      </c>
      <c r="BY57" s="8">
        <f t="shared" si="80"/>
        <v>0</v>
      </c>
      <c r="BZ57" s="8">
        <f t="shared" si="81"/>
        <v>0</v>
      </c>
      <c r="CA57" s="8">
        <f t="shared" si="82"/>
        <v>0</v>
      </c>
      <c r="CB57" s="8">
        <f t="shared" si="83"/>
        <v>0</v>
      </c>
      <c r="CC57" s="8">
        <f t="shared" si="84"/>
        <v>0</v>
      </c>
      <c r="CD57" s="8">
        <f t="shared" si="85"/>
        <v>0</v>
      </c>
      <c r="CE57" s="8">
        <f t="shared" si="86"/>
        <v>0</v>
      </c>
      <c r="CF57" s="8">
        <f t="shared" si="87"/>
        <v>0</v>
      </c>
      <c r="CG57" s="8">
        <f t="shared" si="88"/>
        <v>0</v>
      </c>
      <c r="CH57" s="8">
        <f t="shared" si="89"/>
        <v>0</v>
      </c>
      <c r="CI57" s="8">
        <f t="shared" si="90"/>
        <v>0</v>
      </c>
      <c r="CJ57" s="8">
        <f t="shared" si="91"/>
        <v>0</v>
      </c>
      <c r="CK57" s="8">
        <f t="shared" si="91"/>
        <v>0</v>
      </c>
      <c r="CL57" s="8">
        <f t="shared" si="91"/>
        <v>0</v>
      </c>
      <c r="CM57" s="8">
        <f t="shared" si="91"/>
        <v>0</v>
      </c>
      <c r="CN57" s="8">
        <f t="shared" si="91"/>
        <v>0</v>
      </c>
      <c r="CO57" s="8">
        <f t="shared" si="91"/>
        <v>0</v>
      </c>
      <c r="CP57" s="8">
        <f t="shared" si="91"/>
        <v>0</v>
      </c>
      <c r="CQ57" s="8">
        <f t="shared" si="30"/>
        <v>0</v>
      </c>
      <c r="CR57" s="8">
        <f t="shared" si="31"/>
        <v>0</v>
      </c>
      <c r="CS57" s="8">
        <f t="shared" si="32"/>
        <v>0</v>
      </c>
      <c r="CT57" s="8">
        <f t="shared" si="33"/>
        <v>0</v>
      </c>
      <c r="CU57" s="8">
        <f t="shared" si="34"/>
        <v>0</v>
      </c>
      <c r="CV57" s="8">
        <f t="shared" si="35"/>
        <v>0</v>
      </c>
      <c r="CW57" s="8">
        <f t="shared" si="36"/>
        <v>0</v>
      </c>
      <c r="CX57" s="8">
        <f t="shared" si="37"/>
        <v>0</v>
      </c>
      <c r="CY57" s="8">
        <f t="shared" si="38"/>
        <v>0</v>
      </c>
      <c r="CZ57" s="8">
        <f t="shared" si="39"/>
        <v>0</v>
      </c>
      <c r="DA57" s="8">
        <f t="shared" si="40"/>
        <v>0</v>
      </c>
      <c r="DB57" s="8">
        <f t="shared" si="41"/>
        <v>0</v>
      </c>
      <c r="DC57" s="8">
        <f t="shared" si="42"/>
        <v>0</v>
      </c>
      <c r="DD57" s="8">
        <f t="shared" si="43"/>
        <v>0</v>
      </c>
      <c r="DE57" s="8">
        <f t="shared" si="44"/>
        <v>0</v>
      </c>
      <c r="DF57" s="8">
        <f t="shared" si="45"/>
        <v>0</v>
      </c>
      <c r="DG57" s="8">
        <f t="shared" si="46"/>
        <v>0</v>
      </c>
      <c r="DH57" s="8">
        <f t="shared" si="47"/>
        <v>0</v>
      </c>
      <c r="DI57" s="8">
        <f t="shared" si="48"/>
        <v>0</v>
      </c>
      <c r="DJ57" s="8">
        <f t="shared" si="49"/>
        <v>0</v>
      </c>
      <c r="DK57" s="8">
        <f t="shared" si="50"/>
        <v>0</v>
      </c>
      <c r="DL57" s="8">
        <f t="shared" si="51"/>
        <v>0</v>
      </c>
      <c r="DM57" s="8">
        <f t="shared" si="52"/>
        <v>0</v>
      </c>
      <c r="DN57" s="8">
        <f t="shared" si="53"/>
        <v>0</v>
      </c>
      <c r="DO57" s="177"/>
      <c r="DP57" s="141"/>
      <c r="DQ57" s="141"/>
      <c r="DR57" s="141"/>
      <c r="DS57" s="141"/>
      <c r="DT57" s="141" t="s">
        <v>417</v>
      </c>
      <c r="DU57" s="141"/>
      <c r="DV57" s="141" t="s">
        <v>417</v>
      </c>
      <c r="DW57" s="141"/>
      <c r="DX57" s="141"/>
      <c r="DY57" s="141"/>
      <c r="DZ57" s="141"/>
      <c r="EA57" s="141"/>
      <c r="EB57" s="141"/>
      <c r="EC57" s="141" t="s">
        <v>417</v>
      </c>
      <c r="ED57" s="141"/>
      <c r="EE57" s="141"/>
      <c r="EF57" s="141"/>
      <c r="EG57" s="141"/>
      <c r="EH57" s="141"/>
      <c r="EI57" s="141"/>
      <c r="EJ57" s="142"/>
      <c r="EK57" s="180"/>
    </row>
    <row r="58" spans="2:141" x14ac:dyDescent="0.25">
      <c r="B58" s="69" t="str">
        <f>IF(Profession="","",IF(HLOOKUP(Profession,Skills!$DO$3:$EK$126,ROW(D58)-2,FALSE)="","",HLOOKUP(Profession,Skills!$DO$3:$EK$126,ROW(D58)-2,FALSE)))</f>
        <v>x</v>
      </c>
      <c r="C58" s="32"/>
      <c r="D58" s="35" t="s">
        <v>86</v>
      </c>
      <c r="E58" s="35" t="str">
        <f t="shared" si="98"/>
        <v>Riding</v>
      </c>
      <c r="F58" s="164"/>
      <c r="G58" s="33">
        <f ca="1">SUM(I58:L58)</f>
        <v>-17</v>
      </c>
      <c r="H58" s="33">
        <f ca="1">SUM(O58:(OFFSET(O58,0,Level)))</f>
        <v>0</v>
      </c>
      <c r="I58" s="33">
        <f t="shared" ca="1" si="99"/>
        <v>-25</v>
      </c>
      <c r="J58" s="33">
        <f>IF(OR(M58="",M58="-"),0,VLOOKUP(MID(M58,1,2),StatBonuses,2,FALSE)+VLOOKUP(MID(M58,4,2),StatBonuses,2,FALSE)+VLOOKUP(MID(M58,7,2),StatBonuses,2,FALSE))</f>
        <v>8</v>
      </c>
      <c r="K58" s="33">
        <f t="shared" ca="1" si="100"/>
        <v>0</v>
      </c>
      <c r="L58" s="168"/>
      <c r="M58" s="33" t="str">
        <f>IF(D58="","",VLOOKUP(D58,DPCosts,2,FALSE))</f>
        <v>Ag/Em/Pr</v>
      </c>
      <c r="N58" s="33" t="str">
        <f>IF(OR(D58="", Profession=""),"",VLOOKUP(D58,DPCosts,MATCH(Profession,Professions,0)+2,FALSE))</f>
        <v>2/3</v>
      </c>
      <c r="O58" s="131" t="str">
        <f>IF(OR(D58="",Culture=""),"",VLOOKUP("Riding",CultureRanks,MATCH(Culture,CultureList,0)+1,FALSE))</f>
        <v/>
      </c>
      <c r="P58" s="168"/>
      <c r="Q58" s="168"/>
      <c r="R58" s="168"/>
      <c r="S58" s="168"/>
      <c r="T58" s="168"/>
      <c r="U58" s="164"/>
      <c r="V58" s="164"/>
      <c r="W58" s="164"/>
      <c r="X58" s="164"/>
      <c r="Y58" s="164"/>
      <c r="Z58" s="164"/>
      <c r="AA58" s="164"/>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73"/>
      <c r="BO58" s="27" t="str">
        <f t="shared" si="70"/>
        <v>2</v>
      </c>
      <c r="BP58" s="8" t="str">
        <f t="shared" si="71"/>
        <v>3</v>
      </c>
      <c r="BQ58" s="8">
        <f t="shared" si="72"/>
        <v>0</v>
      </c>
      <c r="BR58" s="8">
        <f t="shared" si="73"/>
        <v>0</v>
      </c>
      <c r="BS58" s="8">
        <f t="shared" si="74"/>
        <v>0</v>
      </c>
      <c r="BT58" s="8">
        <f t="shared" si="75"/>
        <v>0</v>
      </c>
      <c r="BU58" s="8">
        <f t="shared" si="76"/>
        <v>0</v>
      </c>
      <c r="BV58" s="8">
        <f t="shared" si="77"/>
        <v>0</v>
      </c>
      <c r="BW58" s="8">
        <f t="shared" si="78"/>
        <v>0</v>
      </c>
      <c r="BX58" s="8">
        <f t="shared" si="79"/>
        <v>0</v>
      </c>
      <c r="BY58" s="8">
        <f t="shared" si="80"/>
        <v>0</v>
      </c>
      <c r="BZ58" s="8">
        <f t="shared" si="81"/>
        <v>0</v>
      </c>
      <c r="CA58" s="8">
        <f t="shared" si="82"/>
        <v>0</v>
      </c>
      <c r="CB58" s="8">
        <f t="shared" si="83"/>
        <v>0</v>
      </c>
      <c r="CC58" s="8">
        <f t="shared" si="84"/>
        <v>0</v>
      </c>
      <c r="CD58" s="8">
        <f t="shared" si="85"/>
        <v>0</v>
      </c>
      <c r="CE58" s="8">
        <f t="shared" si="86"/>
        <v>0</v>
      </c>
      <c r="CF58" s="8">
        <f t="shared" si="87"/>
        <v>0</v>
      </c>
      <c r="CG58" s="8">
        <f t="shared" si="88"/>
        <v>0</v>
      </c>
      <c r="CH58" s="8">
        <f t="shared" si="89"/>
        <v>0</v>
      </c>
      <c r="CI58" s="8">
        <f t="shared" si="90"/>
        <v>0</v>
      </c>
      <c r="CJ58" s="8">
        <f t="shared" ref="CJ58:DN58" si="102">IF(AI58=0,0,IF(AI58=1,INT($BO58),$BO58+$BP58*(AI58-1)))</f>
        <v>0</v>
      </c>
      <c r="CK58" s="8">
        <f t="shared" si="102"/>
        <v>0</v>
      </c>
      <c r="CL58" s="8">
        <f t="shared" si="102"/>
        <v>0</v>
      </c>
      <c r="CM58" s="8">
        <f t="shared" si="102"/>
        <v>0</v>
      </c>
      <c r="CN58" s="8">
        <f t="shared" si="102"/>
        <v>0</v>
      </c>
      <c r="CO58" s="8">
        <f t="shared" si="102"/>
        <v>0</v>
      </c>
      <c r="CP58" s="8">
        <f t="shared" si="102"/>
        <v>0</v>
      </c>
      <c r="CQ58" s="8">
        <f t="shared" si="102"/>
        <v>0</v>
      </c>
      <c r="CR58" s="8">
        <f t="shared" si="102"/>
        <v>0</v>
      </c>
      <c r="CS58" s="8">
        <f t="shared" si="102"/>
        <v>0</v>
      </c>
      <c r="CT58" s="8">
        <f t="shared" si="102"/>
        <v>0</v>
      </c>
      <c r="CU58" s="8">
        <f t="shared" si="102"/>
        <v>0</v>
      </c>
      <c r="CV58" s="8">
        <f t="shared" si="102"/>
        <v>0</v>
      </c>
      <c r="CW58" s="8">
        <f t="shared" si="102"/>
        <v>0</v>
      </c>
      <c r="CX58" s="8">
        <f t="shared" si="102"/>
        <v>0</v>
      </c>
      <c r="CY58" s="8">
        <f t="shared" si="102"/>
        <v>0</v>
      </c>
      <c r="CZ58" s="8">
        <f t="shared" si="102"/>
        <v>0</v>
      </c>
      <c r="DA58" s="8">
        <f t="shared" si="102"/>
        <v>0</v>
      </c>
      <c r="DB58" s="8">
        <f t="shared" si="102"/>
        <v>0</v>
      </c>
      <c r="DC58" s="8">
        <f t="shared" si="102"/>
        <v>0</v>
      </c>
      <c r="DD58" s="8">
        <f t="shared" si="102"/>
        <v>0</v>
      </c>
      <c r="DE58" s="8">
        <f t="shared" si="102"/>
        <v>0</v>
      </c>
      <c r="DF58" s="8">
        <f t="shared" si="102"/>
        <v>0</v>
      </c>
      <c r="DG58" s="8">
        <f t="shared" si="102"/>
        <v>0</v>
      </c>
      <c r="DH58" s="8">
        <f t="shared" si="102"/>
        <v>0</v>
      </c>
      <c r="DI58" s="8">
        <f t="shared" si="102"/>
        <v>0</v>
      </c>
      <c r="DJ58" s="8">
        <f t="shared" si="102"/>
        <v>0</v>
      </c>
      <c r="DK58" s="8">
        <f t="shared" si="102"/>
        <v>0</v>
      </c>
      <c r="DL58" s="8">
        <f t="shared" si="102"/>
        <v>0</v>
      </c>
      <c r="DM58" s="8">
        <f t="shared" si="102"/>
        <v>0</v>
      </c>
      <c r="DN58" s="8">
        <f t="shared" si="102"/>
        <v>0</v>
      </c>
      <c r="DO58" s="177"/>
      <c r="DP58" s="141" t="s">
        <v>417</v>
      </c>
      <c r="DQ58" s="141"/>
      <c r="DR58" s="141"/>
      <c r="DS58" s="141" t="s">
        <v>417</v>
      </c>
      <c r="DT58" s="141"/>
      <c r="DU58" s="141"/>
      <c r="DV58" s="141" t="s">
        <v>417</v>
      </c>
      <c r="DW58" s="141" t="s">
        <v>417</v>
      </c>
      <c r="DX58" s="141"/>
      <c r="DY58" s="141"/>
      <c r="DZ58" s="141"/>
      <c r="EA58" s="141"/>
      <c r="EB58" s="141"/>
      <c r="EC58" s="141"/>
      <c r="ED58" s="141"/>
      <c r="EE58" s="141"/>
      <c r="EF58" s="141"/>
      <c r="EG58" s="141"/>
      <c r="EH58" s="141"/>
      <c r="EI58" s="141"/>
      <c r="EJ58" s="142"/>
      <c r="EK58" s="180"/>
    </row>
    <row r="59" spans="2:141" x14ac:dyDescent="0.25">
      <c r="B59" s="69" t="str">
        <f>IF(Profession="","",IF(HLOOKUP(Profession,Skills!$DO$3:$EK$126,ROW(D59)-2,FALSE)="","",HLOOKUP(Profession,Skills!$DO$3:$EK$126,ROW(D59)-2,FALSE)))</f>
        <v>x</v>
      </c>
      <c r="C59" s="32"/>
      <c r="D59" s="35" t="s">
        <v>86</v>
      </c>
      <c r="E59" s="35" t="str">
        <f t="shared" si="98"/>
        <v>Riding</v>
      </c>
      <c r="F59" s="164"/>
      <c r="G59" s="33">
        <f t="shared" ca="1" si="5"/>
        <v>-17</v>
      </c>
      <c r="H59" s="33">
        <f ca="1">SUM(O59:(OFFSET(O59,0,Level)))</f>
        <v>0</v>
      </c>
      <c r="I59" s="33">
        <f t="shared" ca="1" si="99"/>
        <v>-25</v>
      </c>
      <c r="J59" s="33">
        <f t="shared" si="92"/>
        <v>8</v>
      </c>
      <c r="K59" s="33">
        <f t="shared" ca="1" si="100"/>
        <v>0</v>
      </c>
      <c r="L59" s="168"/>
      <c r="M59" s="33" t="str">
        <f t="shared" si="93"/>
        <v>Ag/Em/Pr</v>
      </c>
      <c r="N59" s="33" t="str">
        <f t="shared" si="94"/>
        <v>2/3</v>
      </c>
      <c r="O59" s="131"/>
      <c r="P59" s="168"/>
      <c r="Q59" s="168"/>
      <c r="R59" s="168"/>
      <c r="S59" s="168"/>
      <c r="T59" s="168"/>
      <c r="U59" s="164"/>
      <c r="V59" s="164"/>
      <c r="W59" s="164"/>
      <c r="X59" s="164"/>
      <c r="Y59" s="164"/>
      <c r="Z59" s="164"/>
      <c r="AA59" s="164"/>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73"/>
      <c r="BO59" s="27" t="str">
        <f t="shared" si="70"/>
        <v>2</v>
      </c>
      <c r="BP59" s="8" t="str">
        <f t="shared" si="71"/>
        <v>3</v>
      </c>
      <c r="BQ59" s="8">
        <f t="shared" si="72"/>
        <v>0</v>
      </c>
      <c r="BR59" s="8">
        <f t="shared" si="73"/>
        <v>0</v>
      </c>
      <c r="BS59" s="8">
        <f t="shared" si="74"/>
        <v>0</v>
      </c>
      <c r="BT59" s="8">
        <f t="shared" si="75"/>
        <v>0</v>
      </c>
      <c r="BU59" s="8">
        <f t="shared" si="76"/>
        <v>0</v>
      </c>
      <c r="BV59" s="8">
        <f t="shared" si="77"/>
        <v>0</v>
      </c>
      <c r="BW59" s="8">
        <f t="shared" si="78"/>
        <v>0</v>
      </c>
      <c r="BX59" s="8">
        <f t="shared" si="79"/>
        <v>0</v>
      </c>
      <c r="BY59" s="8">
        <f t="shared" si="80"/>
        <v>0</v>
      </c>
      <c r="BZ59" s="8">
        <f t="shared" si="81"/>
        <v>0</v>
      </c>
      <c r="CA59" s="8">
        <f t="shared" si="82"/>
        <v>0</v>
      </c>
      <c r="CB59" s="8">
        <f t="shared" si="83"/>
        <v>0</v>
      </c>
      <c r="CC59" s="8">
        <f t="shared" si="84"/>
        <v>0</v>
      </c>
      <c r="CD59" s="8">
        <f t="shared" si="85"/>
        <v>0</v>
      </c>
      <c r="CE59" s="8">
        <f t="shared" si="86"/>
        <v>0</v>
      </c>
      <c r="CF59" s="8">
        <f t="shared" si="87"/>
        <v>0</v>
      </c>
      <c r="CG59" s="8">
        <f t="shared" si="88"/>
        <v>0</v>
      </c>
      <c r="CH59" s="8">
        <f t="shared" si="89"/>
        <v>0</v>
      </c>
      <c r="CI59" s="8">
        <f t="shared" si="90"/>
        <v>0</v>
      </c>
      <c r="CJ59" s="8">
        <f t="shared" si="91"/>
        <v>0</v>
      </c>
      <c r="CK59" s="8">
        <f t="shared" si="91"/>
        <v>0</v>
      </c>
      <c r="CL59" s="8">
        <f t="shared" si="91"/>
        <v>0</v>
      </c>
      <c r="CM59" s="8">
        <f t="shared" si="91"/>
        <v>0</v>
      </c>
      <c r="CN59" s="8">
        <f t="shared" si="91"/>
        <v>0</v>
      </c>
      <c r="CO59" s="8">
        <f t="shared" si="91"/>
        <v>0</v>
      </c>
      <c r="CP59" s="8">
        <f t="shared" si="91"/>
        <v>0</v>
      </c>
      <c r="CQ59" s="8">
        <f t="shared" si="30"/>
        <v>0</v>
      </c>
      <c r="CR59" s="8">
        <f t="shared" si="31"/>
        <v>0</v>
      </c>
      <c r="CS59" s="8">
        <f t="shared" si="32"/>
        <v>0</v>
      </c>
      <c r="CT59" s="8">
        <f t="shared" si="33"/>
        <v>0</v>
      </c>
      <c r="CU59" s="8">
        <f t="shared" si="34"/>
        <v>0</v>
      </c>
      <c r="CV59" s="8">
        <f t="shared" si="35"/>
        <v>0</v>
      </c>
      <c r="CW59" s="8">
        <f t="shared" si="36"/>
        <v>0</v>
      </c>
      <c r="CX59" s="8">
        <f t="shared" si="37"/>
        <v>0</v>
      </c>
      <c r="CY59" s="8">
        <f t="shared" si="38"/>
        <v>0</v>
      </c>
      <c r="CZ59" s="8">
        <f t="shared" si="39"/>
        <v>0</v>
      </c>
      <c r="DA59" s="8">
        <f t="shared" si="40"/>
        <v>0</v>
      </c>
      <c r="DB59" s="8">
        <f t="shared" si="41"/>
        <v>0</v>
      </c>
      <c r="DC59" s="8">
        <f t="shared" si="42"/>
        <v>0</v>
      </c>
      <c r="DD59" s="8">
        <f t="shared" si="43"/>
        <v>0</v>
      </c>
      <c r="DE59" s="8">
        <f t="shared" si="44"/>
        <v>0</v>
      </c>
      <c r="DF59" s="8">
        <f t="shared" si="45"/>
        <v>0</v>
      </c>
      <c r="DG59" s="8">
        <f t="shared" si="46"/>
        <v>0</v>
      </c>
      <c r="DH59" s="8">
        <f t="shared" si="47"/>
        <v>0</v>
      </c>
      <c r="DI59" s="8">
        <f t="shared" si="48"/>
        <v>0</v>
      </c>
      <c r="DJ59" s="8">
        <f t="shared" si="49"/>
        <v>0</v>
      </c>
      <c r="DK59" s="8">
        <f t="shared" si="50"/>
        <v>0</v>
      </c>
      <c r="DL59" s="8">
        <f t="shared" si="51"/>
        <v>0</v>
      </c>
      <c r="DM59" s="8">
        <f t="shared" si="52"/>
        <v>0</v>
      </c>
      <c r="DN59" s="8">
        <f t="shared" si="53"/>
        <v>0</v>
      </c>
      <c r="DO59" s="177"/>
      <c r="DP59" s="141" t="s">
        <v>417</v>
      </c>
      <c r="DQ59" s="141"/>
      <c r="DR59" s="141"/>
      <c r="DS59" s="141" t="s">
        <v>417</v>
      </c>
      <c r="DT59" s="141"/>
      <c r="DU59" s="141"/>
      <c r="DV59" s="141" t="s">
        <v>417</v>
      </c>
      <c r="DW59" s="141" t="s">
        <v>417</v>
      </c>
      <c r="DX59" s="141"/>
      <c r="DY59" s="141"/>
      <c r="DZ59" s="141"/>
      <c r="EA59" s="141"/>
      <c r="EB59" s="141"/>
      <c r="EC59" s="141"/>
      <c r="ED59" s="141"/>
      <c r="EE59" s="141"/>
      <c r="EF59" s="141"/>
      <c r="EG59" s="141"/>
      <c r="EH59" s="141"/>
      <c r="EI59" s="141"/>
      <c r="EJ59" s="142"/>
      <c r="EK59" s="180"/>
    </row>
    <row r="60" spans="2:141" x14ac:dyDescent="0.25">
      <c r="B60" s="69" t="str">
        <f>IF(Profession="","",IF(HLOOKUP(Profession,Skills!$DO$3:$EK$126,ROW(D60)-2,FALSE)="","",HLOOKUP(Profession,Skills!$DO$3:$EK$126,ROW(D60)-2,FALSE)))</f>
        <v/>
      </c>
      <c r="C60" s="32"/>
      <c r="D60" s="35" t="s">
        <v>87</v>
      </c>
      <c r="E60" s="35" t="str">
        <f t="shared" si="98"/>
        <v>Driving/Pilot</v>
      </c>
      <c r="F60" s="164"/>
      <c r="G60" s="33">
        <f t="shared" ca="1" si="5"/>
        <v>-25</v>
      </c>
      <c r="H60" s="33">
        <f ca="1">SUM(O60:(OFFSET(O60,0,Level)))</f>
        <v>0</v>
      </c>
      <c r="I60" s="33">
        <f t="shared" ca="1" si="99"/>
        <v>-25</v>
      </c>
      <c r="J60" s="33">
        <f t="shared" si="92"/>
        <v>0</v>
      </c>
      <c r="K60" s="33">
        <f t="shared" ca="1" si="100"/>
        <v>0</v>
      </c>
      <c r="L60" s="168"/>
      <c r="M60" s="33" t="str">
        <f t="shared" si="93"/>
        <v>Ag/SD/Qu</v>
      </c>
      <c r="N60" s="33" t="str">
        <f t="shared" si="94"/>
        <v>2/4</v>
      </c>
      <c r="O60" s="131"/>
      <c r="P60" s="168"/>
      <c r="Q60" s="168"/>
      <c r="R60" s="168"/>
      <c r="S60" s="168"/>
      <c r="T60" s="168"/>
      <c r="U60" s="164"/>
      <c r="V60" s="164"/>
      <c r="W60" s="164"/>
      <c r="X60" s="164"/>
      <c r="Y60" s="164"/>
      <c r="Z60" s="164"/>
      <c r="AA60" s="164"/>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73"/>
      <c r="BO60" s="27" t="str">
        <f t="shared" si="70"/>
        <v>2</v>
      </c>
      <c r="BP60" s="8" t="str">
        <f t="shared" si="71"/>
        <v>4</v>
      </c>
      <c r="BQ60" s="8">
        <f t="shared" si="72"/>
        <v>0</v>
      </c>
      <c r="BR60" s="8">
        <f t="shared" si="73"/>
        <v>0</v>
      </c>
      <c r="BS60" s="8">
        <f t="shared" si="74"/>
        <v>0</v>
      </c>
      <c r="BT60" s="8">
        <f t="shared" si="75"/>
        <v>0</v>
      </c>
      <c r="BU60" s="8">
        <f t="shared" si="76"/>
        <v>0</v>
      </c>
      <c r="BV60" s="8">
        <f t="shared" si="77"/>
        <v>0</v>
      </c>
      <c r="BW60" s="8">
        <f t="shared" si="78"/>
        <v>0</v>
      </c>
      <c r="BX60" s="8">
        <f t="shared" si="79"/>
        <v>0</v>
      </c>
      <c r="BY60" s="8">
        <f t="shared" si="80"/>
        <v>0</v>
      </c>
      <c r="BZ60" s="8">
        <f t="shared" si="81"/>
        <v>0</v>
      </c>
      <c r="CA60" s="8">
        <f t="shared" si="82"/>
        <v>0</v>
      </c>
      <c r="CB60" s="8">
        <f t="shared" si="83"/>
        <v>0</v>
      </c>
      <c r="CC60" s="8">
        <f t="shared" si="84"/>
        <v>0</v>
      </c>
      <c r="CD60" s="8">
        <f t="shared" si="85"/>
        <v>0</v>
      </c>
      <c r="CE60" s="8">
        <f t="shared" si="86"/>
        <v>0</v>
      </c>
      <c r="CF60" s="8">
        <f t="shared" si="87"/>
        <v>0</v>
      </c>
      <c r="CG60" s="8">
        <f t="shared" si="88"/>
        <v>0</v>
      </c>
      <c r="CH60" s="8">
        <f t="shared" si="89"/>
        <v>0</v>
      </c>
      <c r="CI60" s="8">
        <f t="shared" si="90"/>
        <v>0</v>
      </c>
      <c r="CJ60" s="8">
        <f t="shared" ref="CJ60:CP81" si="103">IF(AI60=0,0,IF(AI60=1,INT($BO60),$BO60+$BP60*(AI60-1)))</f>
        <v>0</v>
      </c>
      <c r="CK60" s="8">
        <f t="shared" si="103"/>
        <v>0</v>
      </c>
      <c r="CL60" s="8">
        <f t="shared" si="103"/>
        <v>0</v>
      </c>
      <c r="CM60" s="8">
        <f t="shared" si="103"/>
        <v>0</v>
      </c>
      <c r="CN60" s="8">
        <f t="shared" si="103"/>
        <v>0</v>
      </c>
      <c r="CO60" s="8">
        <f t="shared" si="103"/>
        <v>0</v>
      </c>
      <c r="CP60" s="8">
        <f t="shared" si="103"/>
        <v>0</v>
      </c>
      <c r="CQ60" s="8">
        <f t="shared" si="30"/>
        <v>0</v>
      </c>
      <c r="CR60" s="8">
        <f t="shared" si="31"/>
        <v>0</v>
      </c>
      <c r="CS60" s="8">
        <f t="shared" si="32"/>
        <v>0</v>
      </c>
      <c r="CT60" s="8">
        <f t="shared" si="33"/>
        <v>0</v>
      </c>
      <c r="CU60" s="8">
        <f t="shared" si="34"/>
        <v>0</v>
      </c>
      <c r="CV60" s="8">
        <f t="shared" si="35"/>
        <v>0</v>
      </c>
      <c r="CW60" s="8">
        <f t="shared" si="36"/>
        <v>0</v>
      </c>
      <c r="CX60" s="8">
        <f t="shared" si="37"/>
        <v>0</v>
      </c>
      <c r="CY60" s="8">
        <f t="shared" si="38"/>
        <v>0</v>
      </c>
      <c r="CZ60" s="8">
        <f t="shared" si="39"/>
        <v>0</v>
      </c>
      <c r="DA60" s="8">
        <f t="shared" si="40"/>
        <v>0</v>
      </c>
      <c r="DB60" s="8">
        <f t="shared" si="41"/>
        <v>0</v>
      </c>
      <c r="DC60" s="8">
        <f t="shared" si="42"/>
        <v>0</v>
      </c>
      <c r="DD60" s="8">
        <f t="shared" si="43"/>
        <v>0</v>
      </c>
      <c r="DE60" s="8">
        <f t="shared" si="44"/>
        <v>0</v>
      </c>
      <c r="DF60" s="8">
        <f t="shared" si="45"/>
        <v>0</v>
      </c>
      <c r="DG60" s="8">
        <f t="shared" si="46"/>
        <v>0</v>
      </c>
      <c r="DH60" s="8">
        <f t="shared" si="47"/>
        <v>0</v>
      </c>
      <c r="DI60" s="8">
        <f t="shared" si="48"/>
        <v>0</v>
      </c>
      <c r="DJ60" s="8">
        <f t="shared" si="49"/>
        <v>0</v>
      </c>
      <c r="DK60" s="8">
        <f t="shared" si="50"/>
        <v>0</v>
      </c>
      <c r="DL60" s="8">
        <f t="shared" si="51"/>
        <v>0</v>
      </c>
      <c r="DM60" s="8">
        <f t="shared" si="52"/>
        <v>0</v>
      </c>
      <c r="DN60" s="8">
        <f t="shared" si="53"/>
        <v>0</v>
      </c>
      <c r="DO60" s="177"/>
      <c r="DP60" s="141"/>
      <c r="DQ60" s="141"/>
      <c r="DR60" s="141"/>
      <c r="DS60" s="141"/>
      <c r="DT60" s="141" t="s">
        <v>417</v>
      </c>
      <c r="DU60" s="141"/>
      <c r="DV60" s="141"/>
      <c r="DW60" s="141"/>
      <c r="DX60" s="141"/>
      <c r="DY60" s="141"/>
      <c r="DZ60" s="141"/>
      <c r="EA60" s="141"/>
      <c r="EB60" s="141"/>
      <c r="EC60" s="141"/>
      <c r="ED60" s="141"/>
      <c r="EE60" s="141"/>
      <c r="EF60" s="141"/>
      <c r="EG60" s="141"/>
      <c r="EH60" s="141"/>
      <c r="EI60" s="141"/>
      <c r="EJ60" s="142"/>
      <c r="EK60" s="180"/>
    </row>
    <row r="61" spans="2:141" x14ac:dyDescent="0.25">
      <c r="B61" s="69" t="str">
        <f>IF(Profession="","",IF(HLOOKUP(Profession,Skills!$DO$3:$EK$126,ROW(D61)-2,FALSE)="","",HLOOKUP(Profession,Skills!$DO$3:$EK$126,ROW(D61)-2,FALSE)))</f>
        <v/>
      </c>
      <c r="C61" s="32"/>
      <c r="D61" s="35" t="s">
        <v>88</v>
      </c>
      <c r="E61" s="35" t="str">
        <f t="shared" si="98"/>
        <v>Survival</v>
      </c>
      <c r="F61" s="164"/>
      <c r="G61" s="33">
        <f t="shared" ca="1" si="5"/>
        <v>-25</v>
      </c>
      <c r="H61" s="33">
        <f ca="1">SUM(O61:(OFFSET(O61,0,Level)))</f>
        <v>0</v>
      </c>
      <c r="I61" s="33">
        <f t="shared" ca="1" si="99"/>
        <v>-25</v>
      </c>
      <c r="J61" s="33">
        <f>IF(OR(M61="",M61="-"),0,VLOOKUP(MID(M61,1,2),StatBonuses,2,FALSE)+VLOOKUP(MID(M61,4,2),StatBonuses,2,FALSE)+VLOOKUP(MID(M61,7,2),StatBonuses,2,FALSE))</f>
        <v>0</v>
      </c>
      <c r="K61" s="33">
        <f t="shared" ca="1" si="100"/>
        <v>0</v>
      </c>
      <c r="L61" s="168"/>
      <c r="M61" s="33" t="str">
        <f>IF(D61="","",VLOOKUP(D61,DPCosts,2,FALSE))</f>
        <v>Re/Me/In</v>
      </c>
      <c r="N61" s="33" t="str">
        <f>IF(OR(D61="", Profession=""),"",VLOOKUP(D61,DPCosts,MATCH(Profession,Professions,0)+2,FALSE))</f>
        <v>2/4</v>
      </c>
      <c r="O61" s="131" t="str">
        <f>IF(OR(D61="",Culture=""),"",VLOOKUP("Survival: Own Region",CultureRanks,MATCH(Culture,CultureList,0)+1,FALSE))</f>
        <v/>
      </c>
      <c r="P61" s="168"/>
      <c r="Q61" s="168"/>
      <c r="R61" s="168"/>
      <c r="S61" s="168"/>
      <c r="T61" s="168"/>
      <c r="U61" s="164"/>
      <c r="V61" s="164"/>
      <c r="W61" s="164"/>
      <c r="X61" s="164"/>
      <c r="Y61" s="164"/>
      <c r="Z61" s="164"/>
      <c r="AA61" s="164"/>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73"/>
      <c r="BO61" s="27" t="str">
        <f t="shared" si="70"/>
        <v>2</v>
      </c>
      <c r="BP61" s="8" t="str">
        <f t="shared" si="71"/>
        <v>4</v>
      </c>
      <c r="BQ61" s="8">
        <f t="shared" si="72"/>
        <v>0</v>
      </c>
      <c r="BR61" s="8">
        <f t="shared" si="73"/>
        <v>0</v>
      </c>
      <c r="BS61" s="8">
        <f t="shared" si="74"/>
        <v>0</v>
      </c>
      <c r="BT61" s="8">
        <f t="shared" si="75"/>
        <v>0</v>
      </c>
      <c r="BU61" s="8">
        <f t="shared" si="76"/>
        <v>0</v>
      </c>
      <c r="BV61" s="8">
        <f t="shared" si="77"/>
        <v>0</v>
      </c>
      <c r="BW61" s="8">
        <f t="shared" si="78"/>
        <v>0</v>
      </c>
      <c r="BX61" s="8">
        <f t="shared" si="79"/>
        <v>0</v>
      </c>
      <c r="BY61" s="8">
        <f t="shared" si="80"/>
        <v>0</v>
      </c>
      <c r="BZ61" s="8">
        <f t="shared" si="81"/>
        <v>0</v>
      </c>
      <c r="CA61" s="8">
        <f t="shared" si="82"/>
        <v>0</v>
      </c>
      <c r="CB61" s="8">
        <f t="shared" si="83"/>
        <v>0</v>
      </c>
      <c r="CC61" s="8">
        <f t="shared" si="84"/>
        <v>0</v>
      </c>
      <c r="CD61" s="8">
        <f t="shared" si="85"/>
        <v>0</v>
      </c>
      <c r="CE61" s="8">
        <f t="shared" si="86"/>
        <v>0</v>
      </c>
      <c r="CF61" s="8">
        <f t="shared" si="87"/>
        <v>0</v>
      </c>
      <c r="CG61" s="8">
        <f t="shared" si="88"/>
        <v>0</v>
      </c>
      <c r="CH61" s="8">
        <f t="shared" si="89"/>
        <v>0</v>
      </c>
      <c r="CI61" s="8">
        <f t="shared" si="90"/>
        <v>0</v>
      </c>
      <c r="CJ61" s="8">
        <f t="shared" si="103"/>
        <v>0</v>
      </c>
      <c r="CK61" s="8">
        <f t="shared" si="103"/>
        <v>0</v>
      </c>
      <c r="CL61" s="8">
        <f t="shared" si="103"/>
        <v>0</v>
      </c>
      <c r="CM61" s="8">
        <f t="shared" si="103"/>
        <v>0</v>
      </c>
      <c r="CN61" s="8">
        <f t="shared" si="103"/>
        <v>0</v>
      </c>
      <c r="CO61" s="8">
        <f t="shared" si="103"/>
        <v>0</v>
      </c>
      <c r="CP61" s="8">
        <f t="shared" si="103"/>
        <v>0</v>
      </c>
      <c r="CQ61" s="8">
        <f t="shared" si="30"/>
        <v>0</v>
      </c>
      <c r="CR61" s="8">
        <f t="shared" si="31"/>
        <v>0</v>
      </c>
      <c r="CS61" s="8">
        <f t="shared" si="32"/>
        <v>0</v>
      </c>
      <c r="CT61" s="8">
        <f t="shared" si="33"/>
        <v>0</v>
      </c>
      <c r="CU61" s="8">
        <f t="shared" si="34"/>
        <v>0</v>
      </c>
      <c r="CV61" s="8">
        <f t="shared" si="35"/>
        <v>0</v>
      </c>
      <c r="CW61" s="8">
        <f t="shared" si="36"/>
        <v>0</v>
      </c>
      <c r="CX61" s="8">
        <f t="shared" si="37"/>
        <v>0</v>
      </c>
      <c r="CY61" s="8">
        <f t="shared" si="38"/>
        <v>0</v>
      </c>
      <c r="CZ61" s="8">
        <f t="shared" si="39"/>
        <v>0</v>
      </c>
      <c r="DA61" s="8">
        <f t="shared" si="40"/>
        <v>0</v>
      </c>
      <c r="DB61" s="8">
        <f t="shared" si="41"/>
        <v>0</v>
      </c>
      <c r="DC61" s="8">
        <f t="shared" si="42"/>
        <v>0</v>
      </c>
      <c r="DD61" s="8">
        <f t="shared" si="43"/>
        <v>0</v>
      </c>
      <c r="DE61" s="8">
        <f t="shared" si="44"/>
        <v>0</v>
      </c>
      <c r="DF61" s="8">
        <f t="shared" si="45"/>
        <v>0</v>
      </c>
      <c r="DG61" s="8">
        <f t="shared" si="46"/>
        <v>0</v>
      </c>
      <c r="DH61" s="8">
        <f t="shared" si="47"/>
        <v>0</v>
      </c>
      <c r="DI61" s="8">
        <f t="shared" si="48"/>
        <v>0</v>
      </c>
      <c r="DJ61" s="8">
        <f t="shared" si="49"/>
        <v>0</v>
      </c>
      <c r="DK61" s="8">
        <f t="shared" si="50"/>
        <v>0</v>
      </c>
      <c r="DL61" s="8">
        <f t="shared" si="51"/>
        <v>0</v>
      </c>
      <c r="DM61" s="8">
        <f t="shared" si="52"/>
        <v>0</v>
      </c>
      <c r="DN61" s="8">
        <f t="shared" si="53"/>
        <v>0</v>
      </c>
      <c r="DO61" s="177"/>
      <c r="DP61" s="141"/>
      <c r="DQ61" s="141"/>
      <c r="DR61" s="141"/>
      <c r="DS61" s="141"/>
      <c r="DT61" s="141"/>
      <c r="DU61" s="141"/>
      <c r="DV61" s="141" t="s">
        <v>417</v>
      </c>
      <c r="DW61" s="141"/>
      <c r="DX61" s="141"/>
      <c r="DY61" s="141"/>
      <c r="DZ61" s="141"/>
      <c r="EA61" s="141"/>
      <c r="EB61" s="141"/>
      <c r="EC61" s="141" t="s">
        <v>417</v>
      </c>
      <c r="ED61" s="141"/>
      <c r="EE61" s="141"/>
      <c r="EF61" s="141"/>
      <c r="EG61" s="141"/>
      <c r="EH61" s="141"/>
      <c r="EI61" s="141"/>
      <c r="EJ61" s="142"/>
      <c r="EK61" s="180"/>
    </row>
    <row r="62" spans="2:141" x14ac:dyDescent="0.25">
      <c r="B62" s="69" t="str">
        <f>IF(Profession="","",IF(HLOOKUP(Profession,Skills!$DO$3:$EK$126,ROW(D62)-2,FALSE)="","",HLOOKUP(Profession,Skills!$DO$3:$EK$126,ROW(D62)-2,FALSE)))</f>
        <v/>
      </c>
      <c r="C62" s="32"/>
      <c r="D62" s="35" t="s">
        <v>88</v>
      </c>
      <c r="E62" s="35" t="str">
        <f t="shared" si="98"/>
        <v>Survival</v>
      </c>
      <c r="F62" s="164"/>
      <c r="G62" s="33">
        <f t="shared" ca="1" si="5"/>
        <v>-25</v>
      </c>
      <c r="H62" s="33">
        <f ca="1">SUM(O62:(OFFSET(O62,0,Level)))</f>
        <v>0</v>
      </c>
      <c r="I62" s="33">
        <f t="shared" ca="1" si="99"/>
        <v>-25</v>
      </c>
      <c r="J62" s="33">
        <f t="shared" si="92"/>
        <v>0</v>
      </c>
      <c r="K62" s="33">
        <f t="shared" ca="1" si="100"/>
        <v>0</v>
      </c>
      <c r="L62" s="168"/>
      <c r="M62" s="33" t="str">
        <f t="shared" si="93"/>
        <v>Re/Me/In</v>
      </c>
      <c r="N62" s="33" t="str">
        <f t="shared" si="94"/>
        <v>2/4</v>
      </c>
      <c r="O62" s="131"/>
      <c r="P62" s="168"/>
      <c r="Q62" s="168"/>
      <c r="R62" s="168"/>
      <c r="S62" s="168"/>
      <c r="T62" s="168"/>
      <c r="U62" s="164"/>
      <c r="V62" s="164"/>
      <c r="W62" s="164"/>
      <c r="X62" s="164"/>
      <c r="Y62" s="164"/>
      <c r="Z62" s="164"/>
      <c r="AA62" s="164"/>
      <c r="AB62" s="168"/>
      <c r="AC62" s="168"/>
      <c r="AD62" s="168"/>
      <c r="AE62" s="168"/>
      <c r="AF62" s="168"/>
      <c r="AG62" s="168"/>
      <c r="AH62" s="168"/>
      <c r="AI62" s="168"/>
      <c r="AJ62" s="168"/>
      <c r="AK62" s="168"/>
      <c r="AL62" s="168"/>
      <c r="AM62" s="168"/>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73"/>
      <c r="BO62" s="27" t="str">
        <f t="shared" si="70"/>
        <v>2</v>
      </c>
      <c r="BP62" s="8" t="str">
        <f t="shared" si="71"/>
        <v>4</v>
      </c>
      <c r="BQ62" s="8">
        <f t="shared" si="72"/>
        <v>0</v>
      </c>
      <c r="BR62" s="8">
        <f t="shared" si="73"/>
        <v>0</v>
      </c>
      <c r="BS62" s="8">
        <f t="shared" si="74"/>
        <v>0</v>
      </c>
      <c r="BT62" s="8">
        <f t="shared" si="75"/>
        <v>0</v>
      </c>
      <c r="BU62" s="8">
        <f t="shared" si="76"/>
        <v>0</v>
      </c>
      <c r="BV62" s="8">
        <f t="shared" si="77"/>
        <v>0</v>
      </c>
      <c r="BW62" s="8">
        <f t="shared" si="78"/>
        <v>0</v>
      </c>
      <c r="BX62" s="8">
        <f t="shared" si="79"/>
        <v>0</v>
      </c>
      <c r="BY62" s="8">
        <f t="shared" si="80"/>
        <v>0</v>
      </c>
      <c r="BZ62" s="8">
        <f t="shared" si="81"/>
        <v>0</v>
      </c>
      <c r="CA62" s="8">
        <f t="shared" si="82"/>
        <v>0</v>
      </c>
      <c r="CB62" s="8">
        <f t="shared" si="83"/>
        <v>0</v>
      </c>
      <c r="CC62" s="8">
        <f t="shared" si="84"/>
        <v>0</v>
      </c>
      <c r="CD62" s="8">
        <f t="shared" si="85"/>
        <v>0</v>
      </c>
      <c r="CE62" s="8">
        <f t="shared" si="86"/>
        <v>0</v>
      </c>
      <c r="CF62" s="8">
        <f t="shared" si="87"/>
        <v>0</v>
      </c>
      <c r="CG62" s="8">
        <f t="shared" si="88"/>
        <v>0</v>
      </c>
      <c r="CH62" s="8">
        <f t="shared" si="89"/>
        <v>0</v>
      </c>
      <c r="CI62" s="8">
        <f t="shared" si="90"/>
        <v>0</v>
      </c>
      <c r="CJ62" s="8">
        <f t="shared" si="103"/>
        <v>0</v>
      </c>
      <c r="CK62" s="8">
        <f t="shared" si="103"/>
        <v>0</v>
      </c>
      <c r="CL62" s="8">
        <f t="shared" si="103"/>
        <v>0</v>
      </c>
      <c r="CM62" s="8">
        <f t="shared" si="103"/>
        <v>0</v>
      </c>
      <c r="CN62" s="8">
        <f t="shared" si="103"/>
        <v>0</v>
      </c>
      <c r="CO62" s="8">
        <f t="shared" si="103"/>
        <v>0</v>
      </c>
      <c r="CP62" s="8">
        <f t="shared" si="103"/>
        <v>0</v>
      </c>
      <c r="CQ62" s="8">
        <f t="shared" si="30"/>
        <v>0</v>
      </c>
      <c r="CR62" s="8">
        <f t="shared" si="31"/>
        <v>0</v>
      </c>
      <c r="CS62" s="8">
        <f t="shared" si="32"/>
        <v>0</v>
      </c>
      <c r="CT62" s="8">
        <f t="shared" si="33"/>
        <v>0</v>
      </c>
      <c r="CU62" s="8">
        <f t="shared" si="34"/>
        <v>0</v>
      </c>
      <c r="CV62" s="8">
        <f t="shared" si="35"/>
        <v>0</v>
      </c>
      <c r="CW62" s="8">
        <f t="shared" si="36"/>
        <v>0</v>
      </c>
      <c r="CX62" s="8">
        <f t="shared" si="37"/>
        <v>0</v>
      </c>
      <c r="CY62" s="8">
        <f t="shared" si="38"/>
        <v>0</v>
      </c>
      <c r="CZ62" s="8">
        <f t="shared" si="39"/>
        <v>0</v>
      </c>
      <c r="DA62" s="8">
        <f t="shared" si="40"/>
        <v>0</v>
      </c>
      <c r="DB62" s="8">
        <f t="shared" si="41"/>
        <v>0</v>
      </c>
      <c r="DC62" s="8">
        <f t="shared" si="42"/>
        <v>0</v>
      </c>
      <c r="DD62" s="8">
        <f t="shared" si="43"/>
        <v>0</v>
      </c>
      <c r="DE62" s="8">
        <f t="shared" si="44"/>
        <v>0</v>
      </c>
      <c r="DF62" s="8">
        <f t="shared" si="45"/>
        <v>0</v>
      </c>
      <c r="DG62" s="8">
        <f t="shared" si="46"/>
        <v>0</v>
      </c>
      <c r="DH62" s="8">
        <f t="shared" si="47"/>
        <v>0</v>
      </c>
      <c r="DI62" s="8">
        <f t="shared" si="48"/>
        <v>0</v>
      </c>
      <c r="DJ62" s="8">
        <f t="shared" si="49"/>
        <v>0</v>
      </c>
      <c r="DK62" s="8">
        <f t="shared" si="50"/>
        <v>0</v>
      </c>
      <c r="DL62" s="8">
        <f t="shared" si="51"/>
        <v>0</v>
      </c>
      <c r="DM62" s="8">
        <f t="shared" si="52"/>
        <v>0</v>
      </c>
      <c r="DN62" s="8">
        <f t="shared" si="53"/>
        <v>0</v>
      </c>
      <c r="DO62" s="177"/>
      <c r="DP62" s="141"/>
      <c r="DQ62" s="141"/>
      <c r="DR62" s="141"/>
      <c r="DS62" s="141"/>
      <c r="DT62" s="141"/>
      <c r="DU62" s="141"/>
      <c r="DV62" s="141" t="s">
        <v>417</v>
      </c>
      <c r="DW62" s="141"/>
      <c r="DX62" s="141"/>
      <c r="DY62" s="141"/>
      <c r="DZ62" s="141"/>
      <c r="EA62" s="141"/>
      <c r="EB62" s="141"/>
      <c r="EC62" s="141" t="s">
        <v>417</v>
      </c>
      <c r="ED62" s="141"/>
      <c r="EE62" s="141"/>
      <c r="EF62" s="141"/>
      <c r="EG62" s="141"/>
      <c r="EH62" s="141"/>
      <c r="EI62" s="141"/>
      <c r="EJ62" s="142"/>
      <c r="EK62" s="180"/>
    </row>
    <row r="63" spans="2:141" x14ac:dyDescent="0.25">
      <c r="B63" s="69"/>
      <c r="C63" s="32" t="s">
        <v>112</v>
      </c>
      <c r="D63" s="35"/>
      <c r="E63" s="35"/>
      <c r="F63" s="52"/>
      <c r="G63" s="33"/>
      <c r="H63" s="33">
        <f ca="1">SUM(O63:(OFFSET(O63,0,Level)))</f>
        <v>0</v>
      </c>
      <c r="I63" s="33"/>
      <c r="J63" s="33"/>
      <c r="K63" s="33"/>
      <c r="L63" s="33"/>
      <c r="M63" s="33"/>
      <c r="N63" s="33"/>
      <c r="O63" s="51"/>
      <c r="P63" s="174"/>
      <c r="Q63" s="174"/>
      <c r="R63" s="174"/>
      <c r="S63" s="174"/>
      <c r="T63" s="174"/>
      <c r="U63" s="166"/>
      <c r="V63" s="166"/>
      <c r="W63" s="166"/>
      <c r="X63" s="166"/>
      <c r="Y63" s="166"/>
      <c r="Z63" s="166"/>
      <c r="AA63" s="166"/>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5"/>
      <c r="BO63" s="27" t="str">
        <f t="shared" si="70"/>
        <v/>
      </c>
      <c r="BP63" s="8" t="str">
        <f t="shared" si="71"/>
        <v/>
      </c>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169"/>
      <c r="DP63" s="35"/>
      <c r="DQ63" s="35"/>
      <c r="DR63" s="35"/>
      <c r="DS63" s="35"/>
      <c r="DT63" s="35"/>
      <c r="DU63" s="35"/>
      <c r="DV63" s="35"/>
      <c r="DW63" s="35"/>
      <c r="DX63" s="35"/>
      <c r="DY63" s="35"/>
      <c r="DZ63" s="35"/>
      <c r="EA63" s="35"/>
      <c r="EB63" s="35"/>
      <c r="EC63" s="35"/>
      <c r="ED63" s="35"/>
      <c r="EE63" s="35"/>
      <c r="EF63" s="35"/>
      <c r="EG63" s="35"/>
      <c r="EH63" s="35"/>
      <c r="EI63" s="35"/>
      <c r="EJ63" s="35"/>
      <c r="EK63" s="181"/>
    </row>
    <row r="64" spans="2:141" x14ac:dyDescent="0.25">
      <c r="B64" s="69" t="str">
        <f>IF(Profession="","",IF(HLOOKUP(Profession,Skills!$DO$3:$EK$126,ROW(D64)-2,FALSE)="","",HLOOKUP(Profession,Skills!$DO$3:$EK$126,ROW(D64)-2,FALSE)))</f>
        <v/>
      </c>
      <c r="C64" s="32"/>
      <c r="D64" s="35" t="s">
        <v>89</v>
      </c>
      <c r="E64" s="35" t="str">
        <f>D64</f>
        <v>Navigation</v>
      </c>
      <c r="F64" s="164"/>
      <c r="G64" s="33">
        <f ca="1">SUM(I64:L64)</f>
        <v>-25</v>
      </c>
      <c r="H64" s="33">
        <f ca="1">SUM(O64:(OFFSET(O64,0,Level)))</f>
        <v>0</v>
      </c>
      <c r="I64" s="33">
        <f ca="1">IF(Level=0,"",VLOOKUP(H64,RankBonus,2,FALSE))</f>
        <v>-25</v>
      </c>
      <c r="J64" s="33">
        <f>IF(OR(M64="",M64="-"),0,VLOOKUP(MID(M64,1,2),StatBonuses,2,FALSE)+VLOOKUP(MID(M64,4,2),StatBonuses,2,FALSE)+VLOOKUP(MID(M64,7,2),StatBonuses,2,FALSE))</f>
        <v>0</v>
      </c>
      <c r="K64" s="33">
        <f ca="1">IF(Profession="",0,IF(Profession="No Profession",IF(B64="x",H64,0),(VLOOKUP(D64,PBSkills,MATCH(Profession,Professions,0)+2,FALSE)*H64)))</f>
        <v>0</v>
      </c>
      <c r="L64" s="168"/>
      <c r="M64" s="33" t="str">
        <f>IF(D64="","",VLOOKUP(D64,DPCosts,2,FALSE))</f>
        <v>Me/Re/In</v>
      </c>
      <c r="N64" s="33" t="str">
        <f>IF(OR(D64="", Profession=""),"",VLOOKUP(D64,DPCosts,MATCH(Profession,Professions,0)+2,FALSE))</f>
        <v>3/4</v>
      </c>
      <c r="O64" s="131" t="str">
        <f>IF(OR(D64="",Culture=""),"",VLOOKUP("Navigation: Terrestial",CultureRanks,MATCH(Culture,CultureList,0)+1,FALSE))</f>
        <v/>
      </c>
      <c r="P64" s="168"/>
      <c r="Q64" s="168"/>
      <c r="R64" s="168"/>
      <c r="S64" s="168"/>
      <c r="T64" s="168"/>
      <c r="U64" s="164"/>
      <c r="V64" s="164"/>
      <c r="W64" s="164"/>
      <c r="X64" s="164"/>
      <c r="Y64" s="164"/>
      <c r="Z64" s="164"/>
      <c r="AA64" s="164"/>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73"/>
      <c r="BO64" s="27" t="str">
        <f t="shared" si="70"/>
        <v>3</v>
      </c>
      <c r="BP64" s="8" t="str">
        <f t="shared" si="71"/>
        <v>4</v>
      </c>
      <c r="BQ64" s="8">
        <f t="shared" si="72"/>
        <v>0</v>
      </c>
      <c r="BR64" s="8">
        <f t="shared" si="73"/>
        <v>0</v>
      </c>
      <c r="BS64" s="8">
        <f t="shared" si="74"/>
        <v>0</v>
      </c>
      <c r="BT64" s="8">
        <f t="shared" si="75"/>
        <v>0</v>
      </c>
      <c r="BU64" s="8">
        <f t="shared" si="76"/>
        <v>0</v>
      </c>
      <c r="BV64" s="8">
        <f t="shared" si="77"/>
        <v>0</v>
      </c>
      <c r="BW64" s="8">
        <f t="shared" si="78"/>
        <v>0</v>
      </c>
      <c r="BX64" s="8">
        <f t="shared" si="79"/>
        <v>0</v>
      </c>
      <c r="BY64" s="8">
        <f t="shared" si="80"/>
        <v>0</v>
      </c>
      <c r="BZ64" s="8">
        <f t="shared" si="81"/>
        <v>0</v>
      </c>
      <c r="CA64" s="8">
        <f t="shared" si="82"/>
        <v>0</v>
      </c>
      <c r="CB64" s="8">
        <f t="shared" si="83"/>
        <v>0</v>
      </c>
      <c r="CC64" s="8">
        <f t="shared" si="84"/>
        <v>0</v>
      </c>
      <c r="CD64" s="8">
        <f t="shared" si="85"/>
        <v>0</v>
      </c>
      <c r="CE64" s="8">
        <f t="shared" si="86"/>
        <v>0</v>
      </c>
      <c r="CF64" s="8">
        <f t="shared" si="87"/>
        <v>0</v>
      </c>
      <c r="CG64" s="8">
        <f t="shared" si="88"/>
        <v>0</v>
      </c>
      <c r="CH64" s="8">
        <f t="shared" si="89"/>
        <v>0</v>
      </c>
      <c r="CI64" s="8">
        <f t="shared" si="90"/>
        <v>0</v>
      </c>
      <c r="CJ64" s="8">
        <f t="shared" ref="CJ64:DN64" si="104">IF(AI64=0,0,IF(AI64=1,INT($BO64),$BO64+$BP64*(AI64-1)))</f>
        <v>0</v>
      </c>
      <c r="CK64" s="8">
        <f t="shared" si="104"/>
        <v>0</v>
      </c>
      <c r="CL64" s="8">
        <f t="shared" si="104"/>
        <v>0</v>
      </c>
      <c r="CM64" s="8">
        <f t="shared" si="104"/>
        <v>0</v>
      </c>
      <c r="CN64" s="8">
        <f t="shared" si="104"/>
        <v>0</v>
      </c>
      <c r="CO64" s="8">
        <f t="shared" si="104"/>
        <v>0</v>
      </c>
      <c r="CP64" s="8">
        <f t="shared" si="104"/>
        <v>0</v>
      </c>
      <c r="CQ64" s="8">
        <f t="shared" si="104"/>
        <v>0</v>
      </c>
      <c r="CR64" s="8">
        <f t="shared" si="104"/>
        <v>0</v>
      </c>
      <c r="CS64" s="8">
        <f t="shared" si="104"/>
        <v>0</v>
      </c>
      <c r="CT64" s="8">
        <f t="shared" si="104"/>
        <v>0</v>
      </c>
      <c r="CU64" s="8">
        <f t="shared" si="104"/>
        <v>0</v>
      </c>
      <c r="CV64" s="8">
        <f t="shared" si="104"/>
        <v>0</v>
      </c>
      <c r="CW64" s="8">
        <f t="shared" si="104"/>
        <v>0</v>
      </c>
      <c r="CX64" s="8">
        <f t="shared" si="104"/>
        <v>0</v>
      </c>
      <c r="CY64" s="8">
        <f t="shared" si="104"/>
        <v>0</v>
      </c>
      <c r="CZ64" s="8">
        <f t="shared" si="104"/>
        <v>0</v>
      </c>
      <c r="DA64" s="8">
        <f t="shared" si="104"/>
        <v>0</v>
      </c>
      <c r="DB64" s="8">
        <f t="shared" si="104"/>
        <v>0</v>
      </c>
      <c r="DC64" s="8">
        <f t="shared" si="104"/>
        <v>0</v>
      </c>
      <c r="DD64" s="8">
        <f t="shared" si="104"/>
        <v>0</v>
      </c>
      <c r="DE64" s="8">
        <f t="shared" si="104"/>
        <v>0</v>
      </c>
      <c r="DF64" s="8">
        <f t="shared" si="104"/>
        <v>0</v>
      </c>
      <c r="DG64" s="8">
        <f t="shared" si="104"/>
        <v>0</v>
      </c>
      <c r="DH64" s="8">
        <f t="shared" si="104"/>
        <v>0</v>
      </c>
      <c r="DI64" s="8">
        <f t="shared" si="104"/>
        <v>0</v>
      </c>
      <c r="DJ64" s="8">
        <f t="shared" si="104"/>
        <v>0</v>
      </c>
      <c r="DK64" s="8">
        <f t="shared" si="104"/>
        <v>0</v>
      </c>
      <c r="DL64" s="8">
        <f t="shared" si="104"/>
        <v>0</v>
      </c>
      <c r="DM64" s="8">
        <f t="shared" si="104"/>
        <v>0</v>
      </c>
      <c r="DN64" s="8">
        <f t="shared" si="104"/>
        <v>0</v>
      </c>
      <c r="DO64" s="177"/>
      <c r="DP64" s="141"/>
      <c r="DQ64" s="141"/>
      <c r="DR64" s="141"/>
      <c r="DS64" s="141"/>
      <c r="DT64" s="141" t="s">
        <v>417</v>
      </c>
      <c r="DU64" s="141" t="s">
        <v>417</v>
      </c>
      <c r="DV64" s="141" t="s">
        <v>417</v>
      </c>
      <c r="DW64" s="141"/>
      <c r="DX64" s="141"/>
      <c r="DY64" s="141"/>
      <c r="DZ64" s="141"/>
      <c r="EA64" s="141"/>
      <c r="EB64" s="141"/>
      <c r="EC64" s="141"/>
      <c r="ED64" s="141"/>
      <c r="EE64" s="141"/>
      <c r="EF64" s="141"/>
      <c r="EG64" s="141"/>
      <c r="EH64" s="141"/>
      <c r="EI64" s="141"/>
      <c r="EJ64" s="142"/>
      <c r="EK64" s="180"/>
    </row>
    <row r="65" spans="2:141" ht="15.75" thickBot="1" x14ac:dyDescent="0.3">
      <c r="B65" s="69" t="str">
        <f>IF(Profession="","",IF(HLOOKUP(Profession,Skills!$DO$3:$EK$126,ROW(D65)-2,FALSE)="","",HLOOKUP(Profession,Skills!$DO$3:$EK$126,ROW(D65)-2,FALSE)))</f>
        <v/>
      </c>
      <c r="C65" s="32"/>
      <c r="D65" s="35" t="s">
        <v>89</v>
      </c>
      <c r="E65" s="35" t="str">
        <f>D65</f>
        <v>Navigation</v>
      </c>
      <c r="F65" s="164"/>
      <c r="G65" s="33">
        <f t="shared" ca="1" si="5"/>
        <v>-25</v>
      </c>
      <c r="H65" s="33">
        <f ca="1">SUM(O65:(OFFSET(O65,0,Level)))</f>
        <v>0</v>
      </c>
      <c r="I65" s="33">
        <f ca="1">IF(Level=0,"",VLOOKUP(H65,RankBonus,2,FALSE))</f>
        <v>-25</v>
      </c>
      <c r="J65" s="33">
        <f t="shared" si="92"/>
        <v>0</v>
      </c>
      <c r="K65" s="33">
        <f ca="1">IF(Profession="",0,IF(Profession="No Profession",IF(B65="x",H65,0),(VLOOKUP(D65,PBSkills,MATCH(Profession,Professions,0)+2,FALSE)*H65)))</f>
        <v>0</v>
      </c>
      <c r="L65" s="168"/>
      <c r="M65" s="33" t="str">
        <f t="shared" si="93"/>
        <v>Me/Re/In</v>
      </c>
      <c r="N65" s="33" t="str">
        <f t="shared" si="94"/>
        <v>3/4</v>
      </c>
      <c r="O65" s="131"/>
      <c r="P65" s="168"/>
      <c r="Q65" s="168"/>
      <c r="R65" s="168"/>
      <c r="S65" s="168"/>
      <c r="T65" s="168"/>
      <c r="U65" s="164"/>
      <c r="V65" s="164"/>
      <c r="W65" s="164"/>
      <c r="X65" s="164"/>
      <c r="Y65" s="164"/>
      <c r="Z65" s="164"/>
      <c r="AA65" s="164"/>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73"/>
      <c r="BO65" s="27" t="str">
        <f t="shared" si="70"/>
        <v>3</v>
      </c>
      <c r="BP65" s="8" t="str">
        <f t="shared" si="71"/>
        <v>4</v>
      </c>
      <c r="BQ65" s="8">
        <f t="shared" si="72"/>
        <v>0</v>
      </c>
      <c r="BR65" s="8">
        <f t="shared" si="73"/>
        <v>0</v>
      </c>
      <c r="BS65" s="8">
        <f t="shared" si="74"/>
        <v>0</v>
      </c>
      <c r="BT65" s="8">
        <f t="shared" si="75"/>
        <v>0</v>
      </c>
      <c r="BU65" s="8">
        <f t="shared" si="76"/>
        <v>0</v>
      </c>
      <c r="BV65" s="8">
        <f t="shared" si="77"/>
        <v>0</v>
      </c>
      <c r="BW65" s="8">
        <f t="shared" si="78"/>
        <v>0</v>
      </c>
      <c r="BX65" s="8">
        <f t="shared" si="79"/>
        <v>0</v>
      </c>
      <c r="BY65" s="8">
        <f t="shared" si="80"/>
        <v>0</v>
      </c>
      <c r="BZ65" s="8">
        <f t="shared" si="81"/>
        <v>0</v>
      </c>
      <c r="CA65" s="8">
        <f t="shared" si="82"/>
        <v>0</v>
      </c>
      <c r="CB65" s="8">
        <f t="shared" si="83"/>
        <v>0</v>
      </c>
      <c r="CC65" s="8">
        <f t="shared" si="84"/>
        <v>0</v>
      </c>
      <c r="CD65" s="8">
        <f t="shared" si="85"/>
        <v>0</v>
      </c>
      <c r="CE65" s="8">
        <f t="shared" si="86"/>
        <v>0</v>
      </c>
      <c r="CF65" s="8">
        <f t="shared" si="87"/>
        <v>0</v>
      </c>
      <c r="CG65" s="8">
        <f t="shared" si="88"/>
        <v>0</v>
      </c>
      <c r="CH65" s="8">
        <f t="shared" si="89"/>
        <v>0</v>
      </c>
      <c r="CI65" s="8">
        <f t="shared" si="90"/>
        <v>0</v>
      </c>
      <c r="CJ65" s="8">
        <f t="shared" si="103"/>
        <v>0</v>
      </c>
      <c r="CK65" s="8">
        <f t="shared" si="103"/>
        <v>0</v>
      </c>
      <c r="CL65" s="8">
        <f t="shared" si="103"/>
        <v>0</v>
      </c>
      <c r="CM65" s="8">
        <f t="shared" si="103"/>
        <v>0</v>
      </c>
      <c r="CN65" s="8">
        <f t="shared" si="103"/>
        <v>0</v>
      </c>
      <c r="CO65" s="8">
        <f t="shared" si="103"/>
        <v>0</v>
      </c>
      <c r="CP65" s="8">
        <f t="shared" si="103"/>
        <v>0</v>
      </c>
      <c r="CQ65" s="8">
        <f t="shared" si="30"/>
        <v>0</v>
      </c>
      <c r="CR65" s="8">
        <f t="shared" si="31"/>
        <v>0</v>
      </c>
      <c r="CS65" s="8">
        <f t="shared" si="32"/>
        <v>0</v>
      </c>
      <c r="CT65" s="8">
        <f t="shared" si="33"/>
        <v>0</v>
      </c>
      <c r="CU65" s="8">
        <f t="shared" si="34"/>
        <v>0</v>
      </c>
      <c r="CV65" s="8">
        <f t="shared" si="35"/>
        <v>0</v>
      </c>
      <c r="CW65" s="8">
        <f t="shared" si="36"/>
        <v>0</v>
      </c>
      <c r="CX65" s="8">
        <f t="shared" si="37"/>
        <v>0</v>
      </c>
      <c r="CY65" s="8">
        <f t="shared" si="38"/>
        <v>0</v>
      </c>
      <c r="CZ65" s="8">
        <f t="shared" si="39"/>
        <v>0</v>
      </c>
      <c r="DA65" s="8">
        <f t="shared" si="40"/>
        <v>0</v>
      </c>
      <c r="DB65" s="8">
        <f t="shared" si="41"/>
        <v>0</v>
      </c>
      <c r="DC65" s="8">
        <f t="shared" si="42"/>
        <v>0</v>
      </c>
      <c r="DD65" s="8">
        <f t="shared" si="43"/>
        <v>0</v>
      </c>
      <c r="DE65" s="8">
        <f t="shared" si="44"/>
        <v>0</v>
      </c>
      <c r="DF65" s="8">
        <f t="shared" si="45"/>
        <v>0</v>
      </c>
      <c r="DG65" s="8">
        <f t="shared" si="46"/>
        <v>0</v>
      </c>
      <c r="DH65" s="8">
        <f t="shared" si="47"/>
        <v>0</v>
      </c>
      <c r="DI65" s="8">
        <f t="shared" si="48"/>
        <v>0</v>
      </c>
      <c r="DJ65" s="8">
        <f t="shared" si="49"/>
        <v>0</v>
      </c>
      <c r="DK65" s="8">
        <f t="shared" si="50"/>
        <v>0</v>
      </c>
      <c r="DL65" s="8">
        <f t="shared" si="51"/>
        <v>0</v>
      </c>
      <c r="DM65" s="8">
        <f t="shared" si="52"/>
        <v>0</v>
      </c>
      <c r="DN65" s="8">
        <f t="shared" si="53"/>
        <v>0</v>
      </c>
      <c r="DO65" s="177"/>
      <c r="DP65" s="141"/>
      <c r="DQ65" s="141"/>
      <c r="DR65" s="141"/>
      <c r="DS65" s="141"/>
      <c r="DT65" s="141" t="s">
        <v>417</v>
      </c>
      <c r="DU65" s="141" t="s">
        <v>417</v>
      </c>
      <c r="DV65" s="141" t="s">
        <v>417</v>
      </c>
      <c r="DW65" s="141"/>
      <c r="DX65" s="141"/>
      <c r="DY65" s="141"/>
      <c r="DZ65" s="141"/>
      <c r="EA65" s="141"/>
      <c r="EB65" s="141"/>
      <c r="EC65" s="141"/>
      <c r="ED65" s="141"/>
      <c r="EE65" s="141"/>
      <c r="EF65" s="141"/>
      <c r="EG65" s="141"/>
      <c r="EH65" s="141"/>
      <c r="EI65" s="141"/>
      <c r="EJ65" s="142"/>
      <c r="EK65" s="180"/>
    </row>
    <row r="66" spans="2:141" ht="15.75" thickBot="1" x14ac:dyDescent="0.3">
      <c r="B66" s="69" t="str">
        <f>IF(Profession="","",IF(HLOOKUP(Profession,Skills!$DO$3:$EK$126,ROW(D66)-2,FALSE)="","",HLOOKUP(Profession,Skills!$DO$3:$EK$126,ROW(D66)-2,FALSE)))</f>
        <v/>
      </c>
      <c r="C66" s="32"/>
      <c r="D66" s="35" t="s">
        <v>90</v>
      </c>
      <c r="E66" s="35" t="str">
        <f>D66</f>
        <v>Perception*</v>
      </c>
      <c r="F66" s="52"/>
      <c r="G66" s="33">
        <f ca="1">SUM(I66:L66)+BN66</f>
        <v>-25</v>
      </c>
      <c r="H66" s="33">
        <f ca="1">SUM(O66:(OFFSET(O66,0,Level)))</f>
        <v>0</v>
      </c>
      <c r="I66" s="33">
        <f ca="1">IF(Level=0,"",VLOOKUP(H66,RankBonus,2,FALSE))</f>
        <v>-25</v>
      </c>
      <c r="J66" s="33">
        <f t="shared" si="92"/>
        <v>0</v>
      </c>
      <c r="K66" s="33">
        <f ca="1">IF(Profession="",0,IF(Profession="No Profession",IF(B66="x",H66,0),(VLOOKUP(D66,PBSkills,MATCH(Profession,Professions,0)+2,FALSE)*H66)))</f>
        <v>0</v>
      </c>
      <c r="L66" s="168"/>
      <c r="M66" s="33" t="str">
        <f t="shared" si="93"/>
        <v>Re/SD/In</v>
      </c>
      <c r="N66" s="33" t="str">
        <f t="shared" si="94"/>
        <v>3/4</v>
      </c>
      <c r="O66" s="131" t="str">
        <f>IF(OR(D66="",Culture=""),"",VLOOKUP(D66,CultureRanks,MATCH(Culture,CultureList,0)+1,FALSE))</f>
        <v/>
      </c>
      <c r="P66" s="168"/>
      <c r="Q66" s="168"/>
      <c r="R66" s="168"/>
      <c r="S66" s="168"/>
      <c r="T66" s="168"/>
      <c r="U66" s="164"/>
      <c r="V66" s="164"/>
      <c r="W66" s="164"/>
      <c r="X66" s="164"/>
      <c r="Y66" s="164"/>
      <c r="Z66" s="164"/>
      <c r="AA66" s="164"/>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73"/>
      <c r="BN66" s="114">
        <f>Character!L65</f>
        <v>0</v>
      </c>
      <c r="BO66" s="27" t="str">
        <f t="shared" si="70"/>
        <v>3</v>
      </c>
      <c r="BP66" s="8" t="str">
        <f t="shared" si="71"/>
        <v>4</v>
      </c>
      <c r="BQ66" s="8">
        <f t="shared" si="72"/>
        <v>0</v>
      </c>
      <c r="BR66" s="8">
        <f t="shared" si="73"/>
        <v>0</v>
      </c>
      <c r="BS66" s="8">
        <f t="shared" si="74"/>
        <v>0</v>
      </c>
      <c r="BT66" s="8">
        <f t="shared" si="75"/>
        <v>0</v>
      </c>
      <c r="BU66" s="8">
        <f t="shared" si="76"/>
        <v>0</v>
      </c>
      <c r="BV66" s="8">
        <f t="shared" si="77"/>
        <v>0</v>
      </c>
      <c r="BW66" s="8">
        <f t="shared" si="78"/>
        <v>0</v>
      </c>
      <c r="BX66" s="8">
        <f t="shared" si="79"/>
        <v>0</v>
      </c>
      <c r="BY66" s="8">
        <f t="shared" si="80"/>
        <v>0</v>
      </c>
      <c r="BZ66" s="8">
        <f t="shared" si="81"/>
        <v>0</v>
      </c>
      <c r="CA66" s="8">
        <f t="shared" si="82"/>
        <v>0</v>
      </c>
      <c r="CB66" s="8">
        <f t="shared" si="83"/>
        <v>0</v>
      </c>
      <c r="CC66" s="8">
        <f t="shared" si="84"/>
        <v>0</v>
      </c>
      <c r="CD66" s="8">
        <f t="shared" si="85"/>
        <v>0</v>
      </c>
      <c r="CE66" s="8">
        <f t="shared" si="86"/>
        <v>0</v>
      </c>
      <c r="CF66" s="8">
        <f t="shared" si="87"/>
        <v>0</v>
      </c>
      <c r="CG66" s="8">
        <f t="shared" si="88"/>
        <v>0</v>
      </c>
      <c r="CH66" s="8">
        <f t="shared" si="89"/>
        <v>0</v>
      </c>
      <c r="CI66" s="8">
        <f t="shared" si="90"/>
        <v>0</v>
      </c>
      <c r="CJ66" s="8">
        <f t="shared" si="103"/>
        <v>0</v>
      </c>
      <c r="CK66" s="8">
        <f t="shared" si="103"/>
        <v>0</v>
      </c>
      <c r="CL66" s="8">
        <f t="shared" si="103"/>
        <v>0</v>
      </c>
      <c r="CM66" s="8">
        <f t="shared" si="103"/>
        <v>0</v>
      </c>
      <c r="CN66" s="8">
        <f t="shared" si="103"/>
        <v>0</v>
      </c>
      <c r="CO66" s="8">
        <f t="shared" si="103"/>
        <v>0</v>
      </c>
      <c r="CP66" s="8">
        <f t="shared" si="103"/>
        <v>0</v>
      </c>
      <c r="CQ66" s="8">
        <f t="shared" si="30"/>
        <v>0</v>
      </c>
      <c r="CR66" s="8">
        <f t="shared" si="31"/>
        <v>0</v>
      </c>
      <c r="CS66" s="8">
        <f t="shared" si="32"/>
        <v>0</v>
      </c>
      <c r="CT66" s="8">
        <f t="shared" si="33"/>
        <v>0</v>
      </c>
      <c r="CU66" s="8">
        <f t="shared" si="34"/>
        <v>0</v>
      </c>
      <c r="CV66" s="8">
        <f t="shared" si="35"/>
        <v>0</v>
      </c>
      <c r="CW66" s="8">
        <f t="shared" si="36"/>
        <v>0</v>
      </c>
      <c r="CX66" s="8">
        <f t="shared" si="37"/>
        <v>0</v>
      </c>
      <c r="CY66" s="8">
        <f t="shared" si="38"/>
        <v>0</v>
      </c>
      <c r="CZ66" s="8">
        <f t="shared" si="39"/>
        <v>0</v>
      </c>
      <c r="DA66" s="8">
        <f t="shared" si="40"/>
        <v>0</v>
      </c>
      <c r="DB66" s="8">
        <f t="shared" si="41"/>
        <v>0</v>
      </c>
      <c r="DC66" s="8">
        <f t="shared" si="42"/>
        <v>0</v>
      </c>
      <c r="DD66" s="8">
        <f t="shared" si="43"/>
        <v>0</v>
      </c>
      <c r="DE66" s="8">
        <f t="shared" si="44"/>
        <v>0</v>
      </c>
      <c r="DF66" s="8">
        <f t="shared" si="45"/>
        <v>0</v>
      </c>
      <c r="DG66" s="8">
        <f t="shared" si="46"/>
        <v>0</v>
      </c>
      <c r="DH66" s="8">
        <f t="shared" si="47"/>
        <v>0</v>
      </c>
      <c r="DI66" s="8">
        <f t="shared" si="48"/>
        <v>0</v>
      </c>
      <c r="DJ66" s="8">
        <f t="shared" si="49"/>
        <v>0</v>
      </c>
      <c r="DK66" s="8">
        <f t="shared" si="50"/>
        <v>0</v>
      </c>
      <c r="DL66" s="8">
        <f t="shared" si="51"/>
        <v>0</v>
      </c>
      <c r="DM66" s="8">
        <f t="shared" si="52"/>
        <v>0</v>
      </c>
      <c r="DN66" s="8">
        <f t="shared" si="53"/>
        <v>0</v>
      </c>
      <c r="DO66" s="177"/>
      <c r="DP66" s="141"/>
      <c r="DQ66" s="141"/>
      <c r="DR66" s="141" t="s">
        <v>417</v>
      </c>
      <c r="DS66" s="141"/>
      <c r="DT66" s="141"/>
      <c r="DU66" s="141"/>
      <c r="DV66" s="141" t="s">
        <v>417</v>
      </c>
      <c r="DW66" s="141"/>
      <c r="DX66" s="141"/>
      <c r="DY66" s="141" t="s">
        <v>417</v>
      </c>
      <c r="DZ66" s="141"/>
      <c r="EA66" s="141" t="s">
        <v>417</v>
      </c>
      <c r="EB66" s="141"/>
      <c r="EC66" s="141"/>
      <c r="ED66" s="141"/>
      <c r="EE66" s="141" t="s">
        <v>417</v>
      </c>
      <c r="EF66" s="141"/>
      <c r="EG66" s="141"/>
      <c r="EH66" s="141"/>
      <c r="EI66" s="141" t="s">
        <v>417</v>
      </c>
      <c r="EJ66" s="142"/>
      <c r="EK66" s="180"/>
    </row>
    <row r="67" spans="2:141" x14ac:dyDescent="0.25">
      <c r="B67" s="69" t="str">
        <f>IF(Profession="","",IF(HLOOKUP(Profession,Skills!$DO$3:$EK$126,ROW(D67)-2,FALSE)="","",HLOOKUP(Profession,Skills!$DO$3:$EK$126,ROW(D67)-2,FALSE)))</f>
        <v/>
      </c>
      <c r="C67" s="32"/>
      <c r="D67" s="35" t="s">
        <v>91</v>
      </c>
      <c r="E67" s="35" t="str">
        <f>D67</f>
        <v>Tracking*</v>
      </c>
      <c r="F67" s="52"/>
      <c r="G67" s="33">
        <f t="shared" ca="1" si="5"/>
        <v>-17</v>
      </c>
      <c r="H67" s="33">
        <f ca="1">SUM(O67:(OFFSET(O67,0,Level)))</f>
        <v>0</v>
      </c>
      <c r="I67" s="33">
        <f ca="1">IF(Level=0,"",VLOOKUP(H67,RankBonus,2,FALSE))</f>
        <v>-25</v>
      </c>
      <c r="J67" s="33">
        <f t="shared" si="92"/>
        <v>8</v>
      </c>
      <c r="K67" s="33">
        <f ca="1">IF(Profession="",0,IF(Profession="No Profession",IF(B67="x",H67,0),(VLOOKUP(D67,PBSkills,MATCH(Profession,Professions,0)+2,FALSE)*H67)))</f>
        <v>0</v>
      </c>
      <c r="L67" s="168"/>
      <c r="M67" s="33" t="str">
        <f t="shared" si="93"/>
        <v>Re/In/Em</v>
      </c>
      <c r="N67" s="33" t="str">
        <f t="shared" si="94"/>
        <v>2/4</v>
      </c>
      <c r="O67" s="131" t="str">
        <f>IF(OR(D67="",Culture=""),"",VLOOKUP(D67,CultureRanks,MATCH(Culture,CultureList,0)+1,FALSE))</f>
        <v/>
      </c>
      <c r="P67" s="168"/>
      <c r="Q67" s="168"/>
      <c r="R67" s="168"/>
      <c r="S67" s="168"/>
      <c r="T67" s="168"/>
      <c r="U67" s="164"/>
      <c r="V67" s="164"/>
      <c r="W67" s="164"/>
      <c r="X67" s="164"/>
      <c r="Y67" s="164"/>
      <c r="Z67" s="164"/>
      <c r="AA67" s="164"/>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8"/>
      <c r="BK67" s="168"/>
      <c r="BL67" s="168"/>
      <c r="BM67" s="173"/>
      <c r="BO67" s="27" t="str">
        <f t="shared" si="70"/>
        <v>2</v>
      </c>
      <c r="BP67" s="8" t="str">
        <f t="shared" si="71"/>
        <v>4</v>
      </c>
      <c r="BQ67" s="8">
        <f t="shared" si="72"/>
        <v>0</v>
      </c>
      <c r="BR67" s="8">
        <f t="shared" si="73"/>
        <v>0</v>
      </c>
      <c r="BS67" s="8">
        <f t="shared" si="74"/>
        <v>0</v>
      </c>
      <c r="BT67" s="8">
        <f t="shared" si="75"/>
        <v>0</v>
      </c>
      <c r="BU67" s="8">
        <f t="shared" si="76"/>
        <v>0</v>
      </c>
      <c r="BV67" s="8">
        <f t="shared" si="77"/>
        <v>0</v>
      </c>
      <c r="BW67" s="8">
        <f t="shared" si="78"/>
        <v>0</v>
      </c>
      <c r="BX67" s="8">
        <f t="shared" si="79"/>
        <v>0</v>
      </c>
      <c r="BY67" s="8">
        <f t="shared" si="80"/>
        <v>0</v>
      </c>
      <c r="BZ67" s="8">
        <f t="shared" si="81"/>
        <v>0</v>
      </c>
      <c r="CA67" s="8">
        <f t="shared" si="82"/>
        <v>0</v>
      </c>
      <c r="CB67" s="8">
        <f t="shared" si="83"/>
        <v>0</v>
      </c>
      <c r="CC67" s="8">
        <f t="shared" si="84"/>
        <v>0</v>
      </c>
      <c r="CD67" s="8">
        <f t="shared" si="85"/>
        <v>0</v>
      </c>
      <c r="CE67" s="8">
        <f t="shared" si="86"/>
        <v>0</v>
      </c>
      <c r="CF67" s="8">
        <f t="shared" si="87"/>
        <v>0</v>
      </c>
      <c r="CG67" s="8">
        <f t="shared" si="88"/>
        <v>0</v>
      </c>
      <c r="CH67" s="8">
        <f t="shared" si="89"/>
        <v>0</v>
      </c>
      <c r="CI67" s="8">
        <f t="shared" si="90"/>
        <v>0</v>
      </c>
      <c r="CJ67" s="8">
        <f t="shared" si="103"/>
        <v>0</v>
      </c>
      <c r="CK67" s="8">
        <f t="shared" si="103"/>
        <v>0</v>
      </c>
      <c r="CL67" s="8">
        <f t="shared" si="103"/>
        <v>0</v>
      </c>
      <c r="CM67" s="8">
        <f t="shared" si="103"/>
        <v>0</v>
      </c>
      <c r="CN67" s="8">
        <f t="shared" si="103"/>
        <v>0</v>
      </c>
      <c r="CO67" s="8">
        <f t="shared" si="103"/>
        <v>0</v>
      </c>
      <c r="CP67" s="8">
        <f t="shared" si="103"/>
        <v>0</v>
      </c>
      <c r="CQ67" s="8">
        <f t="shared" si="30"/>
        <v>0</v>
      </c>
      <c r="CR67" s="8">
        <f t="shared" si="31"/>
        <v>0</v>
      </c>
      <c r="CS67" s="8">
        <f t="shared" si="32"/>
        <v>0</v>
      </c>
      <c r="CT67" s="8">
        <f t="shared" si="33"/>
        <v>0</v>
      </c>
      <c r="CU67" s="8">
        <f t="shared" si="34"/>
        <v>0</v>
      </c>
      <c r="CV67" s="8">
        <f t="shared" si="35"/>
        <v>0</v>
      </c>
      <c r="CW67" s="8">
        <f t="shared" si="36"/>
        <v>0</v>
      </c>
      <c r="CX67" s="8">
        <f t="shared" si="37"/>
        <v>0</v>
      </c>
      <c r="CY67" s="8">
        <f t="shared" si="38"/>
        <v>0</v>
      </c>
      <c r="CZ67" s="8">
        <f t="shared" si="39"/>
        <v>0</v>
      </c>
      <c r="DA67" s="8">
        <f t="shared" si="40"/>
        <v>0</v>
      </c>
      <c r="DB67" s="8">
        <f t="shared" si="41"/>
        <v>0</v>
      </c>
      <c r="DC67" s="8">
        <f t="shared" si="42"/>
        <v>0</v>
      </c>
      <c r="DD67" s="8">
        <f t="shared" si="43"/>
        <v>0</v>
      </c>
      <c r="DE67" s="8">
        <f t="shared" si="44"/>
        <v>0</v>
      </c>
      <c r="DF67" s="8">
        <f t="shared" si="45"/>
        <v>0</v>
      </c>
      <c r="DG67" s="8">
        <f t="shared" si="46"/>
        <v>0</v>
      </c>
      <c r="DH67" s="8">
        <f t="shared" si="47"/>
        <v>0</v>
      </c>
      <c r="DI67" s="8">
        <f t="shared" si="48"/>
        <v>0</v>
      </c>
      <c r="DJ67" s="8">
        <f t="shared" si="49"/>
        <v>0</v>
      </c>
      <c r="DK67" s="8">
        <f t="shared" si="50"/>
        <v>0</v>
      </c>
      <c r="DL67" s="8">
        <f t="shared" si="51"/>
        <v>0</v>
      </c>
      <c r="DM67" s="8">
        <f t="shared" si="52"/>
        <v>0</v>
      </c>
      <c r="DN67" s="8">
        <f t="shared" si="53"/>
        <v>0</v>
      </c>
      <c r="DO67" s="177"/>
      <c r="DP67" s="141"/>
      <c r="DQ67" s="141"/>
      <c r="DR67" s="141"/>
      <c r="DS67" s="141"/>
      <c r="DT67" s="141"/>
      <c r="DU67" s="141"/>
      <c r="DV67" s="141" t="s">
        <v>417</v>
      </c>
      <c r="DW67" s="141"/>
      <c r="DX67" s="141"/>
      <c r="DY67" s="141"/>
      <c r="DZ67" s="141"/>
      <c r="EA67" s="141"/>
      <c r="EB67" s="141"/>
      <c r="EC67" s="141"/>
      <c r="ED67" s="141"/>
      <c r="EE67" s="141"/>
      <c r="EF67" s="141"/>
      <c r="EG67" s="141"/>
      <c r="EH67" s="141"/>
      <c r="EI67" s="141"/>
      <c r="EJ67" s="142"/>
      <c r="EK67" s="180"/>
    </row>
    <row r="68" spans="2:141" x14ac:dyDescent="0.25">
      <c r="B68" s="69"/>
      <c r="C68" s="32" t="s">
        <v>66</v>
      </c>
      <c r="D68" s="35"/>
      <c r="E68" s="35"/>
      <c r="F68" s="52"/>
      <c r="G68" s="33"/>
      <c r="H68" s="33"/>
      <c r="I68" s="33"/>
      <c r="J68" s="33"/>
      <c r="K68" s="33"/>
      <c r="L68" s="33"/>
      <c r="M68" s="33"/>
      <c r="N68" s="33"/>
      <c r="O68" s="51"/>
      <c r="P68" s="174"/>
      <c r="Q68" s="174"/>
      <c r="R68" s="174"/>
      <c r="S68" s="174"/>
      <c r="T68" s="174"/>
      <c r="U68" s="166"/>
      <c r="V68" s="166"/>
      <c r="W68" s="166"/>
      <c r="X68" s="166"/>
      <c r="Y68" s="166"/>
      <c r="Z68" s="166"/>
      <c r="AA68" s="166"/>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5"/>
      <c r="BO68" s="27" t="str">
        <f t="shared" ref="BO68:BO99" si="105">IF(N68="","",MID(N68,1,FIND("/",N68)-1))</f>
        <v/>
      </c>
      <c r="BP68" s="8" t="str">
        <f t="shared" ref="BP68:BP99" si="106">IF(N68="","",MID(N68,FIND("/",N68)+1,LEN(N68)))</f>
        <v/>
      </c>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169"/>
      <c r="DP68" s="35"/>
      <c r="DQ68" s="35"/>
      <c r="DR68" s="35"/>
      <c r="DS68" s="35"/>
      <c r="DT68" s="35"/>
      <c r="DU68" s="35"/>
      <c r="DV68" s="35"/>
      <c r="DW68" s="35"/>
      <c r="DX68" s="35"/>
      <c r="DY68" s="35"/>
      <c r="DZ68" s="35"/>
      <c r="EA68" s="35"/>
      <c r="EB68" s="35"/>
      <c r="EC68" s="35"/>
      <c r="ED68" s="35"/>
      <c r="EE68" s="35"/>
      <c r="EF68" s="35"/>
      <c r="EG68" s="35"/>
      <c r="EH68" s="35"/>
      <c r="EI68" s="35"/>
      <c r="EJ68" s="35"/>
      <c r="EK68" s="181"/>
    </row>
    <row r="69" spans="2:141" x14ac:dyDescent="0.25">
      <c r="B69" s="69" t="str">
        <f>IF(Profession="","",IF(HLOOKUP(Profession,Skills!$DO$3:$EK$126,ROW(D69)-2,FALSE)="","",HLOOKUP(Profession,Skills!$DO$3:$EK$126,ROW(D69)-2,FALSE)))</f>
        <v/>
      </c>
      <c r="C69" s="32"/>
      <c r="D69" s="35" t="s">
        <v>92</v>
      </c>
      <c r="E69" s="35" t="str">
        <f t="shared" ref="E69:E74" si="107">D69</f>
        <v>Influence</v>
      </c>
      <c r="F69" s="164" t="s">
        <v>267</v>
      </c>
      <c r="G69" s="33">
        <f t="shared" ca="1" si="5"/>
        <v>-17</v>
      </c>
      <c r="H69" s="33">
        <f ca="1">SUM(O69:(OFFSET(O69,0,Level)))</f>
        <v>0</v>
      </c>
      <c r="I69" s="33">
        <f t="shared" ref="I69:I74" ca="1" si="108">IF(Level=0,"",VLOOKUP(H69,RankBonus,2,FALSE))</f>
        <v>-25</v>
      </c>
      <c r="J69" s="33">
        <f t="shared" si="92"/>
        <v>8</v>
      </c>
      <c r="K69" s="33">
        <f t="shared" ref="K69:K74" ca="1" si="109">IF(Profession="",0,IF(Profession="No Profession",IF(B69="x",H69,0),(VLOOKUP(D69,PBSkills,MATCH(Profession,Professions,0)+2,FALSE)*H69)))</f>
        <v>0</v>
      </c>
      <c r="L69" s="168"/>
      <c r="M69" s="33" t="str">
        <f t="shared" si="93"/>
        <v>Em/In/Pr</v>
      </c>
      <c r="N69" s="33" t="str">
        <f t="shared" si="94"/>
        <v>3/4</v>
      </c>
      <c r="O69" s="131"/>
      <c r="P69" s="168"/>
      <c r="Q69" s="168"/>
      <c r="R69" s="168"/>
      <c r="S69" s="168"/>
      <c r="T69" s="168"/>
      <c r="U69" s="164"/>
      <c r="V69" s="164"/>
      <c r="W69" s="164"/>
      <c r="X69" s="164"/>
      <c r="Y69" s="164"/>
      <c r="Z69" s="164"/>
      <c r="AA69" s="164"/>
      <c r="AB69" s="168"/>
      <c r="AC69" s="168"/>
      <c r="AD69" s="168"/>
      <c r="AE69" s="168"/>
      <c r="AF69" s="168"/>
      <c r="AG69" s="168"/>
      <c r="AH69" s="168"/>
      <c r="AI69" s="168"/>
      <c r="AJ69" s="168"/>
      <c r="AK69" s="168"/>
      <c r="AL69" s="168"/>
      <c r="AM69" s="168"/>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73"/>
      <c r="BO69" s="27" t="str">
        <f t="shared" si="105"/>
        <v>3</v>
      </c>
      <c r="BP69" s="8" t="str">
        <f t="shared" si="106"/>
        <v>4</v>
      </c>
      <c r="BQ69" s="8">
        <f t="shared" ref="BQ69:BQ99" si="110">IF(P69=0,0,IF(P69=1,INT($BO69),$BO69+$BP69*(P69-1)))</f>
        <v>0</v>
      </c>
      <c r="BR69" s="8">
        <f t="shared" ref="BR69:BR99" si="111">IF(Q69=0,0,IF(Q69=1,INT($BO69),$BO69+$BP69*(Q69-1)))</f>
        <v>0</v>
      </c>
      <c r="BS69" s="8">
        <f t="shared" ref="BS69:BS99" si="112">IF(R69=0,0,IF(R69=1,INT($BO69),$BO69+$BP69*(R69-1)))</f>
        <v>0</v>
      </c>
      <c r="BT69" s="8">
        <f t="shared" ref="BT69:BT99" si="113">IF(S69=0,0,IF(S69=1,INT($BO69),$BO69+$BP69*(S69-1)))</f>
        <v>0</v>
      </c>
      <c r="BU69" s="8">
        <f t="shared" ref="BU69:BU99" si="114">IF(T69=0,0,IF(T69=1,INT($BO69),$BO69+$BP69*(T69-1)))</f>
        <v>0</v>
      </c>
      <c r="BV69" s="8">
        <f t="shared" ref="BV69:BV99" si="115">IF(U69=0,0,IF(U69=1,INT($BO69),$BO69+$BP69*(U69-1)))</f>
        <v>0</v>
      </c>
      <c r="BW69" s="8">
        <f t="shared" ref="BW69:BW99" si="116">IF(V69=0,0,IF(V69=1,INT($BO69),$BO69+$BP69*(V69-1)))</f>
        <v>0</v>
      </c>
      <c r="BX69" s="8">
        <f t="shared" ref="BX69:BX99" si="117">IF(W69=0,0,IF(W69=1,INT($BO69),$BO69+$BP69*(W69-1)))</f>
        <v>0</v>
      </c>
      <c r="BY69" s="8">
        <f t="shared" ref="BY69:BY99" si="118">IF(X69=0,0,IF(X69=1,INT($BO69),$BO69+$BP69*(X69-1)))</f>
        <v>0</v>
      </c>
      <c r="BZ69" s="8">
        <f t="shared" ref="BZ69:BZ99" si="119">IF(Y69=0,0,IF(Y69=1,INT($BO69),$BO69+$BP69*(Y69-1)))</f>
        <v>0</v>
      </c>
      <c r="CA69" s="8">
        <f t="shared" ref="CA69:CA99" si="120">IF(Z69=0,0,IF(Z69=1,INT($BO69),$BO69+$BP69*(Z69-1)))</f>
        <v>0</v>
      </c>
      <c r="CB69" s="8">
        <f t="shared" ref="CB69:CB99" si="121">IF(AA69=0,0,IF(AA69=1,INT($BO69),$BO69+$BP69*(AA69-1)))</f>
        <v>0</v>
      </c>
      <c r="CC69" s="8">
        <f t="shared" ref="CC69:CC99" si="122">IF(AB69=0,0,IF(AB69=1,INT($BO69),$BO69+$BP69*(AB69-1)))</f>
        <v>0</v>
      </c>
      <c r="CD69" s="8">
        <f t="shared" ref="CD69:CD99" si="123">IF(AC69=0,0,IF(AC69=1,INT($BO69),$BO69+$BP69*(AC69-1)))</f>
        <v>0</v>
      </c>
      <c r="CE69" s="8">
        <f t="shared" ref="CE69:CE99" si="124">IF(AD69=0,0,IF(AD69=1,INT($BO69),$BO69+$BP69*(AD69-1)))</f>
        <v>0</v>
      </c>
      <c r="CF69" s="8">
        <f t="shared" ref="CF69:CF99" si="125">IF(AE69=0,0,IF(AE69=1,INT($BO69),$BO69+$BP69*(AE69-1)))</f>
        <v>0</v>
      </c>
      <c r="CG69" s="8">
        <f t="shared" ref="CG69:CG99" si="126">IF(AF69=0,0,IF(AF69=1,INT($BO69),$BO69+$BP69*(AF69-1)))</f>
        <v>0</v>
      </c>
      <c r="CH69" s="8">
        <f t="shared" ref="CH69:CH99" si="127">IF(AG69=0,0,IF(AG69=1,INT($BO69),$BO69+$BP69*(AG69-1)))</f>
        <v>0</v>
      </c>
      <c r="CI69" s="8">
        <f t="shared" ref="CI69:CI99" si="128">IF(AH69=0,0,IF(AH69=1,INT($BO69),$BO69+$BP69*(AH69-1)))</f>
        <v>0</v>
      </c>
      <c r="CJ69" s="8">
        <f t="shared" si="103"/>
        <v>0</v>
      </c>
      <c r="CK69" s="8">
        <f t="shared" si="103"/>
        <v>0</v>
      </c>
      <c r="CL69" s="8">
        <f t="shared" si="103"/>
        <v>0</v>
      </c>
      <c r="CM69" s="8">
        <f t="shared" si="103"/>
        <v>0</v>
      </c>
      <c r="CN69" s="8">
        <f t="shared" si="103"/>
        <v>0</v>
      </c>
      <c r="CO69" s="8">
        <f t="shared" si="103"/>
        <v>0</v>
      </c>
      <c r="CP69" s="8">
        <f t="shared" si="103"/>
        <v>0</v>
      </c>
      <c r="CQ69" s="8">
        <f t="shared" si="30"/>
        <v>0</v>
      </c>
      <c r="CR69" s="8">
        <f t="shared" si="31"/>
        <v>0</v>
      </c>
      <c r="CS69" s="8">
        <f t="shared" si="32"/>
        <v>0</v>
      </c>
      <c r="CT69" s="8">
        <f t="shared" si="33"/>
        <v>0</v>
      </c>
      <c r="CU69" s="8">
        <f t="shared" si="34"/>
        <v>0</v>
      </c>
      <c r="CV69" s="8">
        <f t="shared" si="35"/>
        <v>0</v>
      </c>
      <c r="CW69" s="8">
        <f t="shared" si="36"/>
        <v>0</v>
      </c>
      <c r="CX69" s="8">
        <f t="shared" si="37"/>
        <v>0</v>
      </c>
      <c r="CY69" s="8">
        <f t="shared" si="38"/>
        <v>0</v>
      </c>
      <c r="CZ69" s="8">
        <f t="shared" si="39"/>
        <v>0</v>
      </c>
      <c r="DA69" s="8">
        <f t="shared" si="40"/>
        <v>0</v>
      </c>
      <c r="DB69" s="8">
        <f t="shared" si="41"/>
        <v>0</v>
      </c>
      <c r="DC69" s="8">
        <f t="shared" si="42"/>
        <v>0</v>
      </c>
      <c r="DD69" s="8">
        <f t="shared" si="43"/>
        <v>0</v>
      </c>
      <c r="DE69" s="8">
        <f t="shared" si="44"/>
        <v>0</v>
      </c>
      <c r="DF69" s="8">
        <f t="shared" si="45"/>
        <v>0</v>
      </c>
      <c r="DG69" s="8">
        <f t="shared" si="46"/>
        <v>0</v>
      </c>
      <c r="DH69" s="8">
        <f t="shared" si="47"/>
        <v>0</v>
      </c>
      <c r="DI69" s="8">
        <f t="shared" si="48"/>
        <v>0</v>
      </c>
      <c r="DJ69" s="8">
        <f t="shared" si="49"/>
        <v>0</v>
      </c>
      <c r="DK69" s="8">
        <f t="shared" si="50"/>
        <v>0</v>
      </c>
      <c r="DL69" s="8">
        <f t="shared" si="51"/>
        <v>0</v>
      </c>
      <c r="DM69" s="8">
        <f t="shared" si="52"/>
        <v>0</v>
      </c>
      <c r="DN69" s="8">
        <f t="shared" si="53"/>
        <v>0</v>
      </c>
      <c r="DO69" s="177"/>
      <c r="DP69" s="141"/>
      <c r="DQ69" s="141"/>
      <c r="DR69" s="141" t="s">
        <v>417</v>
      </c>
      <c r="DS69" s="141" t="s">
        <v>417</v>
      </c>
      <c r="DT69" s="141"/>
      <c r="DU69" s="141"/>
      <c r="DV69" s="141"/>
      <c r="DW69" s="141" t="s">
        <v>417</v>
      </c>
      <c r="DX69" s="141"/>
      <c r="DY69" s="141"/>
      <c r="DZ69" s="141" t="s">
        <v>417</v>
      </c>
      <c r="EA69" s="141"/>
      <c r="EB69" s="141" t="s">
        <v>417</v>
      </c>
      <c r="EC69" s="141"/>
      <c r="ED69" s="141"/>
      <c r="EE69" s="141"/>
      <c r="EF69" s="141"/>
      <c r="EG69" s="141"/>
      <c r="EH69" s="141"/>
      <c r="EI69" s="141"/>
      <c r="EJ69" s="142"/>
      <c r="EK69" s="180"/>
    </row>
    <row r="70" spans="2:141" x14ac:dyDescent="0.25">
      <c r="B70" s="69" t="str">
        <f>IF(Profession="","",IF(HLOOKUP(Profession,Skills!$DO$3:$EK$126,ROW(D70)-2,FALSE)="","",HLOOKUP(Profession,Skills!$DO$3:$EK$126,ROW(D70)-2,FALSE)))</f>
        <v/>
      </c>
      <c r="C70" s="32"/>
      <c r="D70" s="35" t="s">
        <v>92</v>
      </c>
      <c r="E70" s="35" t="str">
        <f t="shared" si="107"/>
        <v>Influence</v>
      </c>
      <c r="F70" s="164" t="s">
        <v>268</v>
      </c>
      <c r="G70" s="33">
        <f t="shared" ca="1" si="5"/>
        <v>-17</v>
      </c>
      <c r="H70" s="33">
        <f ca="1">SUM(O70:(OFFSET(O70,0,Level)))</f>
        <v>0</v>
      </c>
      <c r="I70" s="33">
        <f t="shared" ca="1" si="108"/>
        <v>-25</v>
      </c>
      <c r="J70" s="33">
        <f>IF(OR(M70="",M70="-"),0,VLOOKUP(MID(M70,1,2),StatBonuses,2,FALSE)+VLOOKUP(MID(M70,4,2),StatBonuses,2,FALSE)+VLOOKUP(MID(M70,7,2),StatBonuses,2,FALSE))</f>
        <v>8</v>
      </c>
      <c r="K70" s="33">
        <f t="shared" ca="1" si="109"/>
        <v>0</v>
      </c>
      <c r="L70" s="168"/>
      <c r="M70" s="33" t="str">
        <f>IF(D70="","",VLOOKUP(D70,DPCosts,2,FALSE))</f>
        <v>Em/In/Pr</v>
      </c>
      <c r="N70" s="33" t="str">
        <f>IF(OR(D70="", Profession=""),"",VLOOKUP(D70,DPCosts,MATCH(Profession,Professions,0)+2,FALSE))</f>
        <v>3/4</v>
      </c>
      <c r="O70" s="131"/>
      <c r="P70" s="168"/>
      <c r="Q70" s="168"/>
      <c r="R70" s="168"/>
      <c r="S70" s="168"/>
      <c r="T70" s="168"/>
      <c r="U70" s="164"/>
      <c r="V70" s="164"/>
      <c r="W70" s="164"/>
      <c r="X70" s="164"/>
      <c r="Y70" s="164"/>
      <c r="Z70" s="164"/>
      <c r="AA70" s="164"/>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73"/>
      <c r="BO70" s="27" t="str">
        <f t="shared" si="105"/>
        <v>3</v>
      </c>
      <c r="BP70" s="8" t="str">
        <f t="shared" si="106"/>
        <v>4</v>
      </c>
      <c r="BQ70" s="8">
        <f t="shared" si="110"/>
        <v>0</v>
      </c>
      <c r="BR70" s="8">
        <f t="shared" si="111"/>
        <v>0</v>
      </c>
      <c r="BS70" s="8">
        <f t="shared" si="112"/>
        <v>0</v>
      </c>
      <c r="BT70" s="8">
        <f t="shared" si="113"/>
        <v>0</v>
      </c>
      <c r="BU70" s="8">
        <f t="shared" si="114"/>
        <v>0</v>
      </c>
      <c r="BV70" s="8">
        <f t="shared" si="115"/>
        <v>0</v>
      </c>
      <c r="BW70" s="8">
        <f t="shared" si="116"/>
        <v>0</v>
      </c>
      <c r="BX70" s="8">
        <f t="shared" si="117"/>
        <v>0</v>
      </c>
      <c r="BY70" s="8">
        <f t="shared" si="118"/>
        <v>0</v>
      </c>
      <c r="BZ70" s="8">
        <f t="shared" si="119"/>
        <v>0</v>
      </c>
      <c r="CA70" s="8">
        <f t="shared" si="120"/>
        <v>0</v>
      </c>
      <c r="CB70" s="8">
        <f t="shared" si="121"/>
        <v>0</v>
      </c>
      <c r="CC70" s="8">
        <f t="shared" si="122"/>
        <v>0</v>
      </c>
      <c r="CD70" s="8">
        <f t="shared" si="123"/>
        <v>0</v>
      </c>
      <c r="CE70" s="8">
        <f t="shared" si="124"/>
        <v>0</v>
      </c>
      <c r="CF70" s="8">
        <f t="shared" si="125"/>
        <v>0</v>
      </c>
      <c r="CG70" s="8">
        <f t="shared" si="126"/>
        <v>0</v>
      </c>
      <c r="CH70" s="8">
        <f t="shared" si="127"/>
        <v>0</v>
      </c>
      <c r="CI70" s="8">
        <f t="shared" si="128"/>
        <v>0</v>
      </c>
      <c r="CJ70" s="8">
        <f t="shared" si="103"/>
        <v>0</v>
      </c>
      <c r="CK70" s="8">
        <f t="shared" si="103"/>
        <v>0</v>
      </c>
      <c r="CL70" s="8">
        <f t="shared" si="103"/>
        <v>0</v>
      </c>
      <c r="CM70" s="8">
        <f t="shared" si="103"/>
        <v>0</v>
      </c>
      <c r="CN70" s="8">
        <f t="shared" si="103"/>
        <v>0</v>
      </c>
      <c r="CO70" s="8">
        <f t="shared" si="103"/>
        <v>0</v>
      </c>
      <c r="CP70" s="8">
        <f t="shared" si="103"/>
        <v>0</v>
      </c>
      <c r="CQ70" s="8">
        <f t="shared" si="30"/>
        <v>0</v>
      </c>
      <c r="CR70" s="8">
        <f t="shared" si="31"/>
        <v>0</v>
      </c>
      <c r="CS70" s="8">
        <f t="shared" si="32"/>
        <v>0</v>
      </c>
      <c r="CT70" s="8">
        <f t="shared" si="33"/>
        <v>0</v>
      </c>
      <c r="CU70" s="8">
        <f t="shared" si="34"/>
        <v>0</v>
      </c>
      <c r="CV70" s="8">
        <f t="shared" si="35"/>
        <v>0</v>
      </c>
      <c r="CW70" s="8">
        <f t="shared" si="36"/>
        <v>0</v>
      </c>
      <c r="CX70" s="8">
        <f t="shared" si="37"/>
        <v>0</v>
      </c>
      <c r="CY70" s="8">
        <f t="shared" si="38"/>
        <v>0</v>
      </c>
      <c r="CZ70" s="8">
        <f t="shared" si="39"/>
        <v>0</v>
      </c>
      <c r="DA70" s="8">
        <f t="shared" si="40"/>
        <v>0</v>
      </c>
      <c r="DB70" s="8">
        <f t="shared" si="41"/>
        <v>0</v>
      </c>
      <c r="DC70" s="8">
        <f t="shared" si="42"/>
        <v>0</v>
      </c>
      <c r="DD70" s="8">
        <f t="shared" si="43"/>
        <v>0</v>
      </c>
      <c r="DE70" s="8">
        <f t="shared" si="44"/>
        <v>0</v>
      </c>
      <c r="DF70" s="8">
        <f t="shared" si="45"/>
        <v>0</v>
      </c>
      <c r="DG70" s="8">
        <f t="shared" si="46"/>
        <v>0</v>
      </c>
      <c r="DH70" s="8">
        <f t="shared" si="47"/>
        <v>0</v>
      </c>
      <c r="DI70" s="8">
        <f t="shared" si="48"/>
        <v>0</v>
      </c>
      <c r="DJ70" s="8">
        <f t="shared" si="49"/>
        <v>0</v>
      </c>
      <c r="DK70" s="8">
        <f t="shared" si="50"/>
        <v>0</v>
      </c>
      <c r="DL70" s="8">
        <f t="shared" si="51"/>
        <v>0</v>
      </c>
      <c r="DM70" s="8">
        <f t="shared" si="52"/>
        <v>0</v>
      </c>
      <c r="DN70" s="8">
        <f t="shared" si="53"/>
        <v>0</v>
      </c>
      <c r="DO70" s="177"/>
      <c r="DP70" s="141"/>
      <c r="DQ70" s="141"/>
      <c r="DR70" s="141" t="s">
        <v>417</v>
      </c>
      <c r="DS70" s="141" t="s">
        <v>417</v>
      </c>
      <c r="DT70" s="141"/>
      <c r="DU70" s="141"/>
      <c r="DV70" s="141"/>
      <c r="DW70" s="141" t="s">
        <v>417</v>
      </c>
      <c r="DX70" s="141"/>
      <c r="DY70" s="141"/>
      <c r="DZ70" s="141" t="s">
        <v>417</v>
      </c>
      <c r="EA70" s="141"/>
      <c r="EB70" s="141" t="s">
        <v>417</v>
      </c>
      <c r="EC70" s="141"/>
      <c r="ED70" s="141"/>
      <c r="EE70" s="141"/>
      <c r="EF70" s="141"/>
      <c r="EG70" s="141"/>
      <c r="EH70" s="141"/>
      <c r="EI70" s="141"/>
      <c r="EJ70" s="142"/>
      <c r="EK70" s="180"/>
    </row>
    <row r="71" spans="2:141" x14ac:dyDescent="0.25">
      <c r="B71" s="69" t="str">
        <f>IF(Profession="","",IF(HLOOKUP(Profession,Skills!$DO$3:$EK$126,ROW(D71)-2,FALSE)="","",HLOOKUP(Profession,Skills!$DO$3:$EK$126,ROW(D71)-2,FALSE)))</f>
        <v/>
      </c>
      <c r="C71" s="32"/>
      <c r="D71" s="35" t="s">
        <v>92</v>
      </c>
      <c r="E71" s="35" t="str">
        <f t="shared" si="107"/>
        <v>Influence</v>
      </c>
      <c r="F71" s="164"/>
      <c r="G71" s="33">
        <f ca="1">SUM(I71:L71)</f>
        <v>-17</v>
      </c>
      <c r="H71" s="33">
        <f ca="1">SUM(O71:(OFFSET(O71,0,Level)))</f>
        <v>0</v>
      </c>
      <c r="I71" s="33">
        <f t="shared" ca="1" si="108"/>
        <v>-25</v>
      </c>
      <c r="J71" s="33">
        <f>IF(OR(M71="",M71="-"),0,VLOOKUP(MID(M71,1,2),StatBonuses,2,FALSE)+VLOOKUP(MID(M71,4,2),StatBonuses,2,FALSE)+VLOOKUP(MID(M71,7,2),StatBonuses,2,FALSE))</f>
        <v>8</v>
      </c>
      <c r="K71" s="33">
        <f t="shared" ca="1" si="109"/>
        <v>0</v>
      </c>
      <c r="L71" s="168"/>
      <c r="M71" s="33" t="str">
        <f>IF(D71="","",VLOOKUP(D71,DPCosts,2,FALSE))</f>
        <v>Em/In/Pr</v>
      </c>
      <c r="N71" s="33" t="str">
        <f>IF(OR(D71="", Profession=""),"",VLOOKUP(D71,DPCosts,MATCH(Profession,Professions,0)+2,FALSE))</f>
        <v>3/4</v>
      </c>
      <c r="O71" s="131"/>
      <c r="P71" s="168"/>
      <c r="Q71" s="168"/>
      <c r="R71" s="168"/>
      <c r="S71" s="168"/>
      <c r="T71" s="168"/>
      <c r="U71" s="164"/>
      <c r="V71" s="164"/>
      <c r="W71" s="164"/>
      <c r="X71" s="164"/>
      <c r="Y71" s="164"/>
      <c r="Z71" s="164"/>
      <c r="AA71" s="164"/>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73"/>
      <c r="BO71" s="27" t="str">
        <f t="shared" si="105"/>
        <v>3</v>
      </c>
      <c r="BP71" s="8" t="str">
        <f t="shared" si="106"/>
        <v>4</v>
      </c>
      <c r="BQ71" s="8">
        <f t="shared" si="110"/>
        <v>0</v>
      </c>
      <c r="BR71" s="8">
        <f t="shared" si="111"/>
        <v>0</v>
      </c>
      <c r="BS71" s="8">
        <f t="shared" si="112"/>
        <v>0</v>
      </c>
      <c r="BT71" s="8">
        <f t="shared" si="113"/>
        <v>0</v>
      </c>
      <c r="BU71" s="8">
        <f t="shared" si="114"/>
        <v>0</v>
      </c>
      <c r="BV71" s="8">
        <f t="shared" si="115"/>
        <v>0</v>
      </c>
      <c r="BW71" s="8">
        <f t="shared" si="116"/>
        <v>0</v>
      </c>
      <c r="BX71" s="8">
        <f t="shared" si="117"/>
        <v>0</v>
      </c>
      <c r="BY71" s="8">
        <f t="shared" si="118"/>
        <v>0</v>
      </c>
      <c r="BZ71" s="8">
        <f t="shared" si="119"/>
        <v>0</v>
      </c>
      <c r="CA71" s="8">
        <f t="shared" si="120"/>
        <v>0</v>
      </c>
      <c r="CB71" s="8">
        <f t="shared" si="121"/>
        <v>0</v>
      </c>
      <c r="CC71" s="8">
        <f t="shared" si="122"/>
        <v>0</v>
      </c>
      <c r="CD71" s="8">
        <f t="shared" si="123"/>
        <v>0</v>
      </c>
      <c r="CE71" s="8">
        <f t="shared" si="124"/>
        <v>0</v>
      </c>
      <c r="CF71" s="8">
        <f t="shared" si="125"/>
        <v>0</v>
      </c>
      <c r="CG71" s="8">
        <f t="shared" si="126"/>
        <v>0</v>
      </c>
      <c r="CH71" s="8">
        <f t="shared" si="127"/>
        <v>0</v>
      </c>
      <c r="CI71" s="8">
        <f t="shared" si="128"/>
        <v>0</v>
      </c>
      <c r="CJ71" s="8">
        <f t="shared" ref="CJ71:DN71" si="129">IF(AI71=0,0,IF(AI71=1,INT($BO71),$BO71+$BP71*(AI71-1)))</f>
        <v>0</v>
      </c>
      <c r="CK71" s="8">
        <f t="shared" si="129"/>
        <v>0</v>
      </c>
      <c r="CL71" s="8">
        <f t="shared" si="129"/>
        <v>0</v>
      </c>
      <c r="CM71" s="8">
        <f t="shared" si="129"/>
        <v>0</v>
      </c>
      <c r="CN71" s="8">
        <f t="shared" si="129"/>
        <v>0</v>
      </c>
      <c r="CO71" s="8">
        <f t="shared" si="129"/>
        <v>0</v>
      </c>
      <c r="CP71" s="8">
        <f t="shared" si="129"/>
        <v>0</v>
      </c>
      <c r="CQ71" s="8">
        <f t="shared" si="129"/>
        <v>0</v>
      </c>
      <c r="CR71" s="8">
        <f t="shared" si="129"/>
        <v>0</v>
      </c>
      <c r="CS71" s="8">
        <f t="shared" si="129"/>
        <v>0</v>
      </c>
      <c r="CT71" s="8">
        <f t="shared" si="129"/>
        <v>0</v>
      </c>
      <c r="CU71" s="8">
        <f t="shared" si="129"/>
        <v>0</v>
      </c>
      <c r="CV71" s="8">
        <f t="shared" si="129"/>
        <v>0</v>
      </c>
      <c r="CW71" s="8">
        <f t="shared" si="129"/>
        <v>0</v>
      </c>
      <c r="CX71" s="8">
        <f t="shared" si="129"/>
        <v>0</v>
      </c>
      <c r="CY71" s="8">
        <f t="shared" si="129"/>
        <v>0</v>
      </c>
      <c r="CZ71" s="8">
        <f t="shared" si="129"/>
        <v>0</v>
      </c>
      <c r="DA71" s="8">
        <f t="shared" si="129"/>
        <v>0</v>
      </c>
      <c r="DB71" s="8">
        <f t="shared" si="129"/>
        <v>0</v>
      </c>
      <c r="DC71" s="8">
        <f t="shared" si="129"/>
        <v>0</v>
      </c>
      <c r="DD71" s="8">
        <f t="shared" si="129"/>
        <v>0</v>
      </c>
      <c r="DE71" s="8">
        <f t="shared" si="129"/>
        <v>0</v>
      </c>
      <c r="DF71" s="8">
        <f t="shared" si="129"/>
        <v>0</v>
      </c>
      <c r="DG71" s="8">
        <f t="shared" si="129"/>
        <v>0</v>
      </c>
      <c r="DH71" s="8">
        <f t="shared" si="129"/>
        <v>0</v>
      </c>
      <c r="DI71" s="8">
        <f t="shared" si="129"/>
        <v>0</v>
      </c>
      <c r="DJ71" s="8">
        <f t="shared" si="129"/>
        <v>0</v>
      </c>
      <c r="DK71" s="8">
        <f t="shared" si="129"/>
        <v>0</v>
      </c>
      <c r="DL71" s="8">
        <f t="shared" si="129"/>
        <v>0</v>
      </c>
      <c r="DM71" s="8">
        <f t="shared" si="129"/>
        <v>0</v>
      </c>
      <c r="DN71" s="8">
        <f t="shared" si="129"/>
        <v>0</v>
      </c>
      <c r="DO71" s="177"/>
      <c r="DP71" s="141"/>
      <c r="DQ71" s="141"/>
      <c r="DR71" s="141" t="s">
        <v>417</v>
      </c>
      <c r="DS71" s="141" t="s">
        <v>417</v>
      </c>
      <c r="DT71" s="141"/>
      <c r="DU71" s="141"/>
      <c r="DV71" s="141"/>
      <c r="DW71" s="141" t="s">
        <v>417</v>
      </c>
      <c r="DX71" s="141"/>
      <c r="DY71" s="141"/>
      <c r="DZ71" s="141" t="s">
        <v>417</v>
      </c>
      <c r="EA71" s="141"/>
      <c r="EB71" s="141" t="s">
        <v>417</v>
      </c>
      <c r="EC71" s="141"/>
      <c r="ED71" s="141"/>
      <c r="EE71" s="141"/>
      <c r="EF71" s="141"/>
      <c r="EG71" s="141"/>
      <c r="EH71" s="141"/>
      <c r="EI71" s="141"/>
      <c r="EJ71" s="142"/>
      <c r="EK71" s="180"/>
    </row>
    <row r="72" spans="2:141" x14ac:dyDescent="0.25">
      <c r="B72" s="69" t="str">
        <f>IF(Profession="","",IF(HLOOKUP(Profession,Skills!$DO$3:$EK$126,ROW(D72)-2,FALSE)="","",HLOOKUP(Profession,Skills!$DO$3:$EK$126,ROW(D72)-2,FALSE)))</f>
        <v/>
      </c>
      <c r="C72" s="32"/>
      <c r="D72" s="35" t="s">
        <v>92</v>
      </c>
      <c r="E72" s="35" t="str">
        <f t="shared" si="107"/>
        <v>Influence</v>
      </c>
      <c r="F72" s="164"/>
      <c r="G72" s="33">
        <f t="shared" ca="1" si="5"/>
        <v>-17</v>
      </c>
      <c r="H72" s="33">
        <f ca="1">SUM(O72:(OFFSET(O72,0,Level)))</f>
        <v>0</v>
      </c>
      <c r="I72" s="33">
        <f t="shared" ca="1" si="108"/>
        <v>-25</v>
      </c>
      <c r="J72" s="33">
        <f t="shared" si="92"/>
        <v>8</v>
      </c>
      <c r="K72" s="33">
        <f t="shared" ca="1" si="109"/>
        <v>0</v>
      </c>
      <c r="L72" s="168"/>
      <c r="M72" s="33" t="str">
        <f t="shared" si="93"/>
        <v>Em/In/Pr</v>
      </c>
      <c r="N72" s="33" t="str">
        <f t="shared" si="94"/>
        <v>3/4</v>
      </c>
      <c r="O72" s="131"/>
      <c r="P72" s="168"/>
      <c r="Q72" s="168"/>
      <c r="R72" s="168"/>
      <c r="S72" s="168"/>
      <c r="T72" s="168"/>
      <c r="U72" s="164"/>
      <c r="V72" s="164"/>
      <c r="W72" s="164"/>
      <c r="X72" s="164"/>
      <c r="Y72" s="164"/>
      <c r="Z72" s="164"/>
      <c r="AA72" s="164"/>
      <c r="AB72" s="168"/>
      <c r="AC72" s="168"/>
      <c r="AD72" s="168"/>
      <c r="AE72" s="168"/>
      <c r="AF72" s="168"/>
      <c r="AG72" s="168"/>
      <c r="AH72" s="168"/>
      <c r="AI72" s="168"/>
      <c r="AJ72" s="168"/>
      <c r="AK72" s="168"/>
      <c r="AL72" s="168"/>
      <c r="AM72" s="168"/>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73"/>
      <c r="BO72" s="27" t="str">
        <f t="shared" si="105"/>
        <v>3</v>
      </c>
      <c r="BP72" s="8" t="str">
        <f t="shared" si="106"/>
        <v>4</v>
      </c>
      <c r="BQ72" s="8">
        <f t="shared" si="110"/>
        <v>0</v>
      </c>
      <c r="BR72" s="8">
        <f t="shared" si="111"/>
        <v>0</v>
      </c>
      <c r="BS72" s="8">
        <f t="shared" si="112"/>
        <v>0</v>
      </c>
      <c r="BT72" s="8">
        <f t="shared" si="113"/>
        <v>0</v>
      </c>
      <c r="BU72" s="8">
        <f t="shared" si="114"/>
        <v>0</v>
      </c>
      <c r="BV72" s="8">
        <f t="shared" si="115"/>
        <v>0</v>
      </c>
      <c r="BW72" s="8">
        <f t="shared" si="116"/>
        <v>0</v>
      </c>
      <c r="BX72" s="8">
        <f t="shared" si="117"/>
        <v>0</v>
      </c>
      <c r="BY72" s="8">
        <f t="shared" si="118"/>
        <v>0</v>
      </c>
      <c r="BZ72" s="8">
        <f t="shared" si="119"/>
        <v>0</v>
      </c>
      <c r="CA72" s="8">
        <f t="shared" si="120"/>
        <v>0</v>
      </c>
      <c r="CB72" s="8">
        <f t="shared" si="121"/>
        <v>0</v>
      </c>
      <c r="CC72" s="8">
        <f t="shared" si="122"/>
        <v>0</v>
      </c>
      <c r="CD72" s="8">
        <f t="shared" si="123"/>
        <v>0</v>
      </c>
      <c r="CE72" s="8">
        <f t="shared" si="124"/>
        <v>0</v>
      </c>
      <c r="CF72" s="8">
        <f t="shared" si="125"/>
        <v>0</v>
      </c>
      <c r="CG72" s="8">
        <f t="shared" si="126"/>
        <v>0</v>
      </c>
      <c r="CH72" s="8">
        <f t="shared" si="127"/>
        <v>0</v>
      </c>
      <c r="CI72" s="8">
        <f t="shared" si="128"/>
        <v>0</v>
      </c>
      <c r="CJ72" s="8">
        <f t="shared" si="103"/>
        <v>0</v>
      </c>
      <c r="CK72" s="8">
        <f t="shared" si="103"/>
        <v>0</v>
      </c>
      <c r="CL72" s="8">
        <f t="shared" si="103"/>
        <v>0</v>
      </c>
      <c r="CM72" s="8">
        <f t="shared" si="103"/>
        <v>0</v>
      </c>
      <c r="CN72" s="8">
        <f t="shared" si="103"/>
        <v>0</v>
      </c>
      <c r="CO72" s="8">
        <f t="shared" si="103"/>
        <v>0</v>
      </c>
      <c r="CP72" s="8">
        <f t="shared" si="103"/>
        <v>0</v>
      </c>
      <c r="CQ72" s="8">
        <f t="shared" si="30"/>
        <v>0</v>
      </c>
      <c r="CR72" s="8">
        <f t="shared" si="31"/>
        <v>0</v>
      </c>
      <c r="CS72" s="8">
        <f t="shared" si="32"/>
        <v>0</v>
      </c>
      <c r="CT72" s="8">
        <f t="shared" si="33"/>
        <v>0</v>
      </c>
      <c r="CU72" s="8">
        <f t="shared" si="34"/>
        <v>0</v>
      </c>
      <c r="CV72" s="8">
        <f t="shared" si="35"/>
        <v>0</v>
      </c>
      <c r="CW72" s="8">
        <f t="shared" si="36"/>
        <v>0</v>
      </c>
      <c r="CX72" s="8">
        <f t="shared" si="37"/>
        <v>0</v>
      </c>
      <c r="CY72" s="8">
        <f t="shared" si="38"/>
        <v>0</v>
      </c>
      <c r="CZ72" s="8">
        <f t="shared" si="39"/>
        <v>0</v>
      </c>
      <c r="DA72" s="8">
        <f t="shared" si="40"/>
        <v>0</v>
      </c>
      <c r="DB72" s="8">
        <f t="shared" si="41"/>
        <v>0</v>
      </c>
      <c r="DC72" s="8">
        <f t="shared" si="42"/>
        <v>0</v>
      </c>
      <c r="DD72" s="8">
        <f t="shared" si="43"/>
        <v>0</v>
      </c>
      <c r="DE72" s="8">
        <f t="shared" si="44"/>
        <v>0</v>
      </c>
      <c r="DF72" s="8">
        <f t="shared" si="45"/>
        <v>0</v>
      </c>
      <c r="DG72" s="8">
        <f t="shared" si="46"/>
        <v>0</v>
      </c>
      <c r="DH72" s="8">
        <f t="shared" si="47"/>
        <v>0</v>
      </c>
      <c r="DI72" s="8">
        <f t="shared" si="48"/>
        <v>0</v>
      </c>
      <c r="DJ72" s="8">
        <f t="shared" si="49"/>
        <v>0</v>
      </c>
      <c r="DK72" s="8">
        <f t="shared" si="50"/>
        <v>0</v>
      </c>
      <c r="DL72" s="8">
        <f t="shared" si="51"/>
        <v>0</v>
      </c>
      <c r="DM72" s="8">
        <f t="shared" si="52"/>
        <v>0</v>
      </c>
      <c r="DN72" s="8">
        <f t="shared" si="53"/>
        <v>0</v>
      </c>
      <c r="DO72" s="177"/>
      <c r="DP72" s="141"/>
      <c r="DQ72" s="141"/>
      <c r="DR72" s="141" t="s">
        <v>417</v>
      </c>
      <c r="DS72" s="141" t="s">
        <v>417</v>
      </c>
      <c r="DT72" s="141"/>
      <c r="DU72" s="141"/>
      <c r="DV72" s="141"/>
      <c r="DW72" s="141" t="s">
        <v>417</v>
      </c>
      <c r="DX72" s="141"/>
      <c r="DY72" s="141"/>
      <c r="DZ72" s="141" t="s">
        <v>417</v>
      </c>
      <c r="EA72" s="141"/>
      <c r="EB72" s="141" t="s">
        <v>417</v>
      </c>
      <c r="EC72" s="141"/>
      <c r="ED72" s="141"/>
      <c r="EE72" s="141"/>
      <c r="EF72" s="141"/>
      <c r="EG72" s="141"/>
      <c r="EH72" s="141"/>
      <c r="EI72" s="141"/>
      <c r="EJ72" s="142"/>
      <c r="EK72" s="180"/>
    </row>
    <row r="73" spans="2:141" x14ac:dyDescent="0.25">
      <c r="B73" s="69" t="str">
        <f>IF(Profession="","",IF(HLOOKUP(Profession,Skills!$DO$3:$EK$126,ROW(D73)-2,FALSE)="","",HLOOKUP(Profession,Skills!$DO$3:$EK$126,ROW(D73)-2,FALSE)))</f>
        <v>x</v>
      </c>
      <c r="C73" s="32"/>
      <c r="D73" s="35" t="s">
        <v>93</v>
      </c>
      <c r="E73" s="35" t="str">
        <f t="shared" si="107"/>
        <v>Leadership*</v>
      </c>
      <c r="F73" s="52"/>
      <c r="G73" s="33">
        <f t="shared" ca="1" si="5"/>
        <v>-17</v>
      </c>
      <c r="H73" s="33">
        <f ca="1">SUM(O73:(OFFSET(O73,0,Level)))</f>
        <v>0</v>
      </c>
      <c r="I73" s="33">
        <f t="shared" ca="1" si="108"/>
        <v>-25</v>
      </c>
      <c r="J73" s="33">
        <f t="shared" si="92"/>
        <v>8</v>
      </c>
      <c r="K73" s="33">
        <f t="shared" ca="1" si="109"/>
        <v>0</v>
      </c>
      <c r="L73" s="168"/>
      <c r="M73" s="33" t="str">
        <f t="shared" si="93"/>
        <v>Em/Pr/Pr</v>
      </c>
      <c r="N73" s="33" t="str">
        <f t="shared" si="94"/>
        <v>2/4</v>
      </c>
      <c r="O73" s="131"/>
      <c r="P73" s="168"/>
      <c r="Q73" s="168"/>
      <c r="R73" s="168"/>
      <c r="S73" s="168"/>
      <c r="T73" s="168"/>
      <c r="U73" s="164"/>
      <c r="V73" s="164"/>
      <c r="W73" s="164"/>
      <c r="X73" s="164"/>
      <c r="Y73" s="164"/>
      <c r="Z73" s="164"/>
      <c r="AA73" s="164"/>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73"/>
      <c r="BO73" s="27" t="str">
        <f t="shared" si="105"/>
        <v>2</v>
      </c>
      <c r="BP73" s="8" t="str">
        <f t="shared" si="106"/>
        <v>4</v>
      </c>
      <c r="BQ73" s="8">
        <f t="shared" si="110"/>
        <v>0</v>
      </c>
      <c r="BR73" s="8">
        <f t="shared" si="111"/>
        <v>0</v>
      </c>
      <c r="BS73" s="8">
        <f t="shared" si="112"/>
        <v>0</v>
      </c>
      <c r="BT73" s="8">
        <f t="shared" si="113"/>
        <v>0</v>
      </c>
      <c r="BU73" s="8">
        <f t="shared" si="114"/>
        <v>0</v>
      </c>
      <c r="BV73" s="8">
        <f t="shared" si="115"/>
        <v>0</v>
      </c>
      <c r="BW73" s="8">
        <f t="shared" si="116"/>
        <v>0</v>
      </c>
      <c r="BX73" s="8">
        <f t="shared" si="117"/>
        <v>0</v>
      </c>
      <c r="BY73" s="8">
        <f t="shared" si="118"/>
        <v>0</v>
      </c>
      <c r="BZ73" s="8">
        <f t="shared" si="119"/>
        <v>0</v>
      </c>
      <c r="CA73" s="8">
        <f t="shared" si="120"/>
        <v>0</v>
      </c>
      <c r="CB73" s="8">
        <f t="shared" si="121"/>
        <v>0</v>
      </c>
      <c r="CC73" s="8">
        <f t="shared" si="122"/>
        <v>0</v>
      </c>
      <c r="CD73" s="8">
        <f t="shared" si="123"/>
        <v>0</v>
      </c>
      <c r="CE73" s="8">
        <f t="shared" si="124"/>
        <v>0</v>
      </c>
      <c r="CF73" s="8">
        <f t="shared" si="125"/>
        <v>0</v>
      </c>
      <c r="CG73" s="8">
        <f t="shared" si="126"/>
        <v>0</v>
      </c>
      <c r="CH73" s="8">
        <f t="shared" si="127"/>
        <v>0</v>
      </c>
      <c r="CI73" s="8">
        <f t="shared" si="128"/>
        <v>0</v>
      </c>
      <c r="CJ73" s="8">
        <f t="shared" si="103"/>
        <v>0</v>
      </c>
      <c r="CK73" s="8">
        <f t="shared" si="103"/>
        <v>0</v>
      </c>
      <c r="CL73" s="8">
        <f t="shared" si="103"/>
        <v>0</v>
      </c>
      <c r="CM73" s="8">
        <f t="shared" si="103"/>
        <v>0</v>
      </c>
      <c r="CN73" s="8">
        <f t="shared" si="103"/>
        <v>0</v>
      </c>
      <c r="CO73" s="8">
        <f t="shared" si="103"/>
        <v>0</v>
      </c>
      <c r="CP73" s="8">
        <f t="shared" si="103"/>
        <v>0</v>
      </c>
      <c r="CQ73" s="8">
        <f t="shared" si="30"/>
        <v>0</v>
      </c>
      <c r="CR73" s="8">
        <f t="shared" si="31"/>
        <v>0</v>
      </c>
      <c r="CS73" s="8">
        <f t="shared" si="32"/>
        <v>0</v>
      </c>
      <c r="CT73" s="8">
        <f t="shared" si="33"/>
        <v>0</v>
      </c>
      <c r="CU73" s="8">
        <f t="shared" si="34"/>
        <v>0</v>
      </c>
      <c r="CV73" s="8">
        <f t="shared" si="35"/>
        <v>0</v>
      </c>
      <c r="CW73" s="8">
        <f t="shared" si="36"/>
        <v>0</v>
      </c>
      <c r="CX73" s="8">
        <f t="shared" si="37"/>
        <v>0</v>
      </c>
      <c r="CY73" s="8">
        <f t="shared" si="38"/>
        <v>0</v>
      </c>
      <c r="CZ73" s="8">
        <f t="shared" si="39"/>
        <v>0</v>
      </c>
      <c r="DA73" s="8">
        <f t="shared" si="40"/>
        <v>0</v>
      </c>
      <c r="DB73" s="8">
        <f t="shared" si="41"/>
        <v>0</v>
      </c>
      <c r="DC73" s="8">
        <f t="shared" si="42"/>
        <v>0</v>
      </c>
      <c r="DD73" s="8">
        <f t="shared" si="43"/>
        <v>0</v>
      </c>
      <c r="DE73" s="8">
        <f t="shared" si="44"/>
        <v>0</v>
      </c>
      <c r="DF73" s="8">
        <f t="shared" si="45"/>
        <v>0</v>
      </c>
      <c r="DG73" s="8">
        <f t="shared" si="46"/>
        <v>0</v>
      </c>
      <c r="DH73" s="8">
        <f t="shared" si="47"/>
        <v>0</v>
      </c>
      <c r="DI73" s="8">
        <f t="shared" si="48"/>
        <v>0</v>
      </c>
      <c r="DJ73" s="8">
        <f t="shared" si="49"/>
        <v>0</v>
      </c>
      <c r="DK73" s="8">
        <f t="shared" si="50"/>
        <v>0</v>
      </c>
      <c r="DL73" s="8">
        <f t="shared" si="51"/>
        <v>0</v>
      </c>
      <c r="DM73" s="8">
        <f t="shared" si="52"/>
        <v>0</v>
      </c>
      <c r="DN73" s="8">
        <f t="shared" si="53"/>
        <v>0</v>
      </c>
      <c r="DO73" s="177"/>
      <c r="DP73" s="141" t="s">
        <v>417</v>
      </c>
      <c r="DQ73" s="141"/>
      <c r="DR73" s="141"/>
      <c r="DS73" s="141"/>
      <c r="DT73" s="141"/>
      <c r="DU73" s="141"/>
      <c r="DV73" s="141"/>
      <c r="DW73" s="141" t="s">
        <v>417</v>
      </c>
      <c r="DX73" s="141"/>
      <c r="DY73" s="141"/>
      <c r="DZ73" s="141"/>
      <c r="EA73" s="141"/>
      <c r="EB73" s="141"/>
      <c r="EC73" s="141"/>
      <c r="ED73" s="141"/>
      <c r="EE73" s="141"/>
      <c r="EF73" s="141"/>
      <c r="EG73" s="141"/>
      <c r="EH73" s="141"/>
      <c r="EI73" s="141"/>
      <c r="EJ73" s="142"/>
      <c r="EK73" s="180"/>
    </row>
    <row r="74" spans="2:141" x14ac:dyDescent="0.25">
      <c r="B74" s="69" t="str">
        <f>IF(Profession="","",IF(HLOOKUP(Profession,Skills!$DO$3:$EK$126,ROW(D74)-2,FALSE)="","",HLOOKUP(Profession,Skills!$DO$3:$EK$126,ROW(D74)-2,FALSE)))</f>
        <v/>
      </c>
      <c r="C74" s="32"/>
      <c r="D74" s="35" t="s">
        <v>94</v>
      </c>
      <c r="E74" s="35" t="str">
        <f t="shared" si="107"/>
        <v>Social Awareness*</v>
      </c>
      <c r="F74" s="52"/>
      <c r="G74" s="33">
        <f t="shared" ca="1" si="5"/>
        <v>-17</v>
      </c>
      <c r="H74" s="33">
        <f ca="1">SUM(O74:(OFFSET(O74,0,Level)))</f>
        <v>0</v>
      </c>
      <c r="I74" s="33">
        <f t="shared" ca="1" si="108"/>
        <v>-25</v>
      </c>
      <c r="J74" s="33">
        <f t="shared" si="92"/>
        <v>8</v>
      </c>
      <c r="K74" s="33">
        <f t="shared" ca="1" si="109"/>
        <v>0</v>
      </c>
      <c r="L74" s="168"/>
      <c r="M74" s="33" t="str">
        <f t="shared" si="93"/>
        <v>Em/Re/In</v>
      </c>
      <c r="N74" s="33" t="str">
        <f t="shared" si="94"/>
        <v>3/4</v>
      </c>
      <c r="O74" s="131" t="str">
        <f>IF(OR(D74="",Culture=""),"",VLOOKUP(D74,CultureRanks,MATCH(Culture,CultureList,0)+1,FALSE))</f>
        <v/>
      </c>
      <c r="P74" s="168"/>
      <c r="Q74" s="168"/>
      <c r="R74" s="168"/>
      <c r="S74" s="168"/>
      <c r="T74" s="168"/>
      <c r="U74" s="164"/>
      <c r="V74" s="164"/>
      <c r="W74" s="164"/>
      <c r="X74" s="164"/>
      <c r="Y74" s="164"/>
      <c r="Z74" s="164"/>
      <c r="AA74" s="164"/>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c r="BA74" s="168"/>
      <c r="BB74" s="168"/>
      <c r="BC74" s="168"/>
      <c r="BD74" s="168"/>
      <c r="BE74" s="168"/>
      <c r="BF74" s="168"/>
      <c r="BG74" s="168"/>
      <c r="BH74" s="168"/>
      <c r="BI74" s="168"/>
      <c r="BJ74" s="168"/>
      <c r="BK74" s="168"/>
      <c r="BL74" s="168"/>
      <c r="BM74" s="173"/>
      <c r="BO74" s="27" t="str">
        <f t="shared" si="105"/>
        <v>3</v>
      </c>
      <c r="BP74" s="8" t="str">
        <f t="shared" si="106"/>
        <v>4</v>
      </c>
      <c r="BQ74" s="8">
        <f t="shared" si="110"/>
        <v>0</v>
      </c>
      <c r="BR74" s="8">
        <f t="shared" si="111"/>
        <v>0</v>
      </c>
      <c r="BS74" s="8">
        <f t="shared" si="112"/>
        <v>0</v>
      </c>
      <c r="BT74" s="8">
        <f t="shared" si="113"/>
        <v>0</v>
      </c>
      <c r="BU74" s="8">
        <f t="shared" si="114"/>
        <v>0</v>
      </c>
      <c r="BV74" s="8">
        <f t="shared" si="115"/>
        <v>0</v>
      </c>
      <c r="BW74" s="8">
        <f t="shared" si="116"/>
        <v>0</v>
      </c>
      <c r="BX74" s="8">
        <f t="shared" si="117"/>
        <v>0</v>
      </c>
      <c r="BY74" s="8">
        <f t="shared" si="118"/>
        <v>0</v>
      </c>
      <c r="BZ74" s="8">
        <f t="shared" si="119"/>
        <v>0</v>
      </c>
      <c r="CA74" s="8">
        <f t="shared" si="120"/>
        <v>0</v>
      </c>
      <c r="CB74" s="8">
        <f t="shared" si="121"/>
        <v>0</v>
      </c>
      <c r="CC74" s="8">
        <f t="shared" si="122"/>
        <v>0</v>
      </c>
      <c r="CD74" s="8">
        <f t="shared" si="123"/>
        <v>0</v>
      </c>
      <c r="CE74" s="8">
        <f t="shared" si="124"/>
        <v>0</v>
      </c>
      <c r="CF74" s="8">
        <f t="shared" si="125"/>
        <v>0</v>
      </c>
      <c r="CG74" s="8">
        <f t="shared" si="126"/>
        <v>0</v>
      </c>
      <c r="CH74" s="8">
        <f t="shared" si="127"/>
        <v>0</v>
      </c>
      <c r="CI74" s="8">
        <f t="shared" si="128"/>
        <v>0</v>
      </c>
      <c r="CJ74" s="8">
        <f t="shared" si="103"/>
        <v>0</v>
      </c>
      <c r="CK74" s="8">
        <f t="shared" si="103"/>
        <v>0</v>
      </c>
      <c r="CL74" s="8">
        <f t="shared" si="103"/>
        <v>0</v>
      </c>
      <c r="CM74" s="8">
        <f t="shared" si="103"/>
        <v>0</v>
      </c>
      <c r="CN74" s="8">
        <f t="shared" si="103"/>
        <v>0</v>
      </c>
      <c r="CO74" s="8">
        <f t="shared" si="103"/>
        <v>0</v>
      </c>
      <c r="CP74" s="8">
        <f t="shared" si="103"/>
        <v>0</v>
      </c>
      <c r="CQ74" s="8">
        <f t="shared" si="30"/>
        <v>0</v>
      </c>
      <c r="CR74" s="8">
        <f t="shared" si="31"/>
        <v>0</v>
      </c>
      <c r="CS74" s="8">
        <f t="shared" si="32"/>
        <v>0</v>
      </c>
      <c r="CT74" s="8">
        <f t="shared" si="33"/>
        <v>0</v>
      </c>
      <c r="CU74" s="8">
        <f t="shared" si="34"/>
        <v>0</v>
      </c>
      <c r="CV74" s="8">
        <f t="shared" si="35"/>
        <v>0</v>
      </c>
      <c r="CW74" s="8">
        <f t="shared" si="36"/>
        <v>0</v>
      </c>
      <c r="CX74" s="8">
        <f t="shared" si="37"/>
        <v>0</v>
      </c>
      <c r="CY74" s="8">
        <f t="shared" si="38"/>
        <v>0</v>
      </c>
      <c r="CZ74" s="8">
        <f t="shared" si="39"/>
        <v>0</v>
      </c>
      <c r="DA74" s="8">
        <f t="shared" si="40"/>
        <v>0</v>
      </c>
      <c r="DB74" s="8">
        <f t="shared" si="41"/>
        <v>0</v>
      </c>
      <c r="DC74" s="8">
        <f t="shared" si="42"/>
        <v>0</v>
      </c>
      <c r="DD74" s="8">
        <f t="shared" si="43"/>
        <v>0</v>
      </c>
      <c r="DE74" s="8">
        <f t="shared" si="44"/>
        <v>0</v>
      </c>
      <c r="DF74" s="8">
        <f t="shared" si="45"/>
        <v>0</v>
      </c>
      <c r="DG74" s="8">
        <f t="shared" si="46"/>
        <v>0</v>
      </c>
      <c r="DH74" s="8">
        <f t="shared" si="47"/>
        <v>0</v>
      </c>
      <c r="DI74" s="8">
        <f t="shared" si="48"/>
        <v>0</v>
      </c>
      <c r="DJ74" s="8">
        <f t="shared" si="49"/>
        <v>0</v>
      </c>
      <c r="DK74" s="8">
        <f t="shared" si="50"/>
        <v>0</v>
      </c>
      <c r="DL74" s="8">
        <f t="shared" si="51"/>
        <v>0</v>
      </c>
      <c r="DM74" s="8">
        <f t="shared" si="52"/>
        <v>0</v>
      </c>
      <c r="DN74" s="8">
        <f t="shared" si="53"/>
        <v>0</v>
      </c>
      <c r="DO74" s="177"/>
      <c r="DP74" s="141"/>
      <c r="DQ74" s="141"/>
      <c r="DR74" s="141"/>
      <c r="DS74" s="141" t="s">
        <v>417</v>
      </c>
      <c r="DT74" s="141"/>
      <c r="DU74" s="141"/>
      <c r="DV74" s="141"/>
      <c r="DW74" s="141"/>
      <c r="DX74" s="141"/>
      <c r="DY74" s="141"/>
      <c r="DZ74" s="141" t="s">
        <v>417</v>
      </c>
      <c r="EA74" s="141"/>
      <c r="EB74" s="141"/>
      <c r="EC74" s="141"/>
      <c r="ED74" s="141"/>
      <c r="EE74" s="141"/>
      <c r="EF74" s="141"/>
      <c r="EG74" s="141"/>
      <c r="EH74" s="141"/>
      <c r="EI74" s="141"/>
      <c r="EJ74" s="142"/>
      <c r="EK74" s="180"/>
    </row>
    <row r="75" spans="2:141" x14ac:dyDescent="0.25">
      <c r="B75" s="69"/>
      <c r="C75" s="32" t="s">
        <v>111</v>
      </c>
      <c r="D75" s="35"/>
      <c r="E75" s="35"/>
      <c r="F75" s="52"/>
      <c r="G75" s="33"/>
      <c r="H75" s="33"/>
      <c r="I75" s="33"/>
      <c r="J75" s="33"/>
      <c r="K75" s="33"/>
      <c r="L75" s="33"/>
      <c r="M75" s="33"/>
      <c r="N75" s="33"/>
      <c r="O75" s="51"/>
      <c r="P75" s="174"/>
      <c r="Q75" s="174"/>
      <c r="R75" s="174"/>
      <c r="S75" s="174"/>
      <c r="T75" s="174"/>
      <c r="U75" s="166"/>
      <c r="V75" s="166"/>
      <c r="W75" s="166"/>
      <c r="X75" s="166"/>
      <c r="Y75" s="166"/>
      <c r="Z75" s="166"/>
      <c r="AA75" s="166"/>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5"/>
      <c r="BO75" s="27" t="str">
        <f t="shared" si="105"/>
        <v/>
      </c>
      <c r="BP75" s="8" t="str">
        <f t="shared" si="106"/>
        <v/>
      </c>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169"/>
      <c r="DP75" s="35"/>
      <c r="DQ75" s="35"/>
      <c r="DR75" s="35"/>
      <c r="DS75" s="35"/>
      <c r="DT75" s="35"/>
      <c r="DU75" s="35"/>
      <c r="DV75" s="35"/>
      <c r="DW75" s="35"/>
      <c r="DX75" s="35"/>
      <c r="DY75" s="35"/>
      <c r="DZ75" s="35"/>
      <c r="EA75" s="35"/>
      <c r="EB75" s="35"/>
      <c r="EC75" s="35"/>
      <c r="ED75" s="35"/>
      <c r="EE75" s="35"/>
      <c r="EF75" s="35"/>
      <c r="EG75" s="35"/>
      <c r="EH75" s="35"/>
      <c r="EI75" s="35"/>
      <c r="EJ75" s="35"/>
      <c r="EK75" s="181"/>
    </row>
    <row r="76" spans="2:141" x14ac:dyDescent="0.25">
      <c r="B76" s="69" t="str">
        <f>IF(Profession="","",IF(HLOOKUP(Profession,Skills!$DO$3:$EK$126,ROW(D76)-2,FALSE)="","",HLOOKUP(Profession,Skills!$DO$3:$EK$126,ROW(D76)-2,FALSE)))</f>
        <v/>
      </c>
      <c r="C76" s="32"/>
      <c r="D76" s="35" t="s">
        <v>95</v>
      </c>
      <c r="E76" s="35" t="str">
        <f t="shared" ref="E76:E81" si="130">D76</f>
        <v>Magic Ritual</v>
      </c>
      <c r="F76" s="164"/>
      <c r="G76" s="33">
        <f ca="1">SUM(I76:L76)</f>
        <v>-9</v>
      </c>
      <c r="H76" s="33">
        <f ca="1">SUM(O76:(OFFSET(O76,0,Level)))</f>
        <v>0</v>
      </c>
      <c r="I76" s="33">
        <f ca="1">IF(Level=0,"",VLOOKUP(H76,RankBonus,2,FALSE))</f>
        <v>-25</v>
      </c>
      <c r="J76" s="33">
        <f>IF(Realm="",0,SUM(RS+RS+Me))</f>
        <v>16</v>
      </c>
      <c r="K76" s="33">
        <f t="shared" ref="K76:K103" ca="1" si="131">IF(Profession="",0,IF(Profession="No Profession",IF(B76="x",H76,0),(VLOOKUP(D76,PBSkills,MATCH(Profession,Professions,0)+2,FALSE)*H76)))</f>
        <v>0</v>
      </c>
      <c r="L76" s="168"/>
      <c r="M76" s="33" t="str">
        <f>IF(D76="","",VLOOKUP(D76,DPCosts,2,FALSE))</f>
        <v>RS/RS/Me</v>
      </c>
      <c r="N76" s="33" t="str">
        <f>IF(OR(D76="", Profession=""),"",VLOOKUP(D76,DPCosts,MATCH(Profession,Professions,0)+2,FALSE))</f>
        <v>12/15</v>
      </c>
      <c r="O76" s="131"/>
      <c r="P76" s="168"/>
      <c r="Q76" s="168"/>
      <c r="R76" s="168"/>
      <c r="S76" s="168"/>
      <c r="T76" s="168"/>
      <c r="U76" s="164"/>
      <c r="V76" s="164"/>
      <c r="W76" s="164"/>
      <c r="X76" s="164"/>
      <c r="Y76" s="164"/>
      <c r="Z76" s="164"/>
      <c r="AA76" s="164"/>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68"/>
      <c r="BE76" s="168"/>
      <c r="BF76" s="168"/>
      <c r="BG76" s="168"/>
      <c r="BH76" s="168"/>
      <c r="BI76" s="168"/>
      <c r="BJ76" s="168"/>
      <c r="BK76" s="168"/>
      <c r="BL76" s="168"/>
      <c r="BM76" s="173"/>
      <c r="BO76" s="27" t="str">
        <f t="shared" si="105"/>
        <v>12</v>
      </c>
      <c r="BP76" s="8" t="str">
        <f t="shared" si="106"/>
        <v>15</v>
      </c>
      <c r="BQ76" s="8">
        <f t="shared" si="110"/>
        <v>0</v>
      </c>
      <c r="BR76" s="8">
        <f t="shared" si="111"/>
        <v>0</v>
      </c>
      <c r="BS76" s="8">
        <f t="shared" si="112"/>
        <v>0</v>
      </c>
      <c r="BT76" s="8">
        <f t="shared" si="113"/>
        <v>0</v>
      </c>
      <c r="BU76" s="8">
        <f t="shared" si="114"/>
        <v>0</v>
      </c>
      <c r="BV76" s="8">
        <f t="shared" si="115"/>
        <v>0</v>
      </c>
      <c r="BW76" s="8">
        <f t="shared" si="116"/>
        <v>0</v>
      </c>
      <c r="BX76" s="8">
        <f t="shared" si="117"/>
        <v>0</v>
      </c>
      <c r="BY76" s="8">
        <f t="shared" si="118"/>
        <v>0</v>
      </c>
      <c r="BZ76" s="8">
        <f t="shared" si="119"/>
        <v>0</v>
      </c>
      <c r="CA76" s="8">
        <f t="shared" si="120"/>
        <v>0</v>
      </c>
      <c r="CB76" s="8">
        <f t="shared" si="121"/>
        <v>0</v>
      </c>
      <c r="CC76" s="8">
        <f t="shared" si="122"/>
        <v>0</v>
      </c>
      <c r="CD76" s="8">
        <f t="shared" si="123"/>
        <v>0</v>
      </c>
      <c r="CE76" s="8">
        <f t="shared" si="124"/>
        <v>0</v>
      </c>
      <c r="CF76" s="8">
        <f t="shared" si="125"/>
        <v>0</v>
      </c>
      <c r="CG76" s="8">
        <f t="shared" si="126"/>
        <v>0</v>
      </c>
      <c r="CH76" s="8">
        <f t="shared" si="127"/>
        <v>0</v>
      </c>
      <c r="CI76" s="8">
        <f t="shared" si="128"/>
        <v>0</v>
      </c>
      <c r="CJ76" s="8">
        <f t="shared" si="103"/>
        <v>0</v>
      </c>
      <c r="CK76" s="8">
        <f t="shared" si="103"/>
        <v>0</v>
      </c>
      <c r="CL76" s="8">
        <f t="shared" si="103"/>
        <v>0</v>
      </c>
      <c r="CM76" s="8">
        <f t="shared" si="103"/>
        <v>0</v>
      </c>
      <c r="CN76" s="8">
        <f t="shared" si="103"/>
        <v>0</v>
      </c>
      <c r="CO76" s="8">
        <f t="shared" si="103"/>
        <v>0</v>
      </c>
      <c r="CP76" s="8">
        <f t="shared" si="103"/>
        <v>0</v>
      </c>
      <c r="CQ76" s="8">
        <f t="shared" si="30"/>
        <v>0</v>
      </c>
      <c r="CR76" s="8">
        <f t="shared" si="31"/>
        <v>0</v>
      </c>
      <c r="CS76" s="8">
        <f t="shared" si="32"/>
        <v>0</v>
      </c>
      <c r="CT76" s="8">
        <f t="shared" si="33"/>
        <v>0</v>
      </c>
      <c r="CU76" s="8">
        <f t="shared" si="34"/>
        <v>0</v>
      </c>
      <c r="CV76" s="8">
        <f t="shared" si="35"/>
        <v>0</v>
      </c>
      <c r="CW76" s="8">
        <f t="shared" si="36"/>
        <v>0</v>
      </c>
      <c r="CX76" s="8">
        <f t="shared" si="37"/>
        <v>0</v>
      </c>
      <c r="CY76" s="8">
        <f t="shared" si="38"/>
        <v>0</v>
      </c>
      <c r="CZ76" s="8">
        <f t="shared" si="39"/>
        <v>0</v>
      </c>
      <c r="DA76" s="8">
        <f t="shared" si="40"/>
        <v>0</v>
      </c>
      <c r="DB76" s="8">
        <f t="shared" si="41"/>
        <v>0</v>
      </c>
      <c r="DC76" s="8">
        <f t="shared" si="42"/>
        <v>0</v>
      </c>
      <c r="DD76" s="8">
        <f t="shared" si="43"/>
        <v>0</v>
      </c>
      <c r="DE76" s="8">
        <f t="shared" si="44"/>
        <v>0</v>
      </c>
      <c r="DF76" s="8">
        <f t="shared" si="45"/>
        <v>0</v>
      </c>
      <c r="DG76" s="8">
        <f t="shared" si="46"/>
        <v>0</v>
      </c>
      <c r="DH76" s="8">
        <f t="shared" si="47"/>
        <v>0</v>
      </c>
      <c r="DI76" s="8">
        <f t="shared" si="48"/>
        <v>0</v>
      </c>
      <c r="DJ76" s="8">
        <f t="shared" si="49"/>
        <v>0</v>
      </c>
      <c r="DK76" s="8">
        <f t="shared" si="50"/>
        <v>0</v>
      </c>
      <c r="DL76" s="8">
        <f t="shared" si="51"/>
        <v>0</v>
      </c>
      <c r="DM76" s="8">
        <f t="shared" si="52"/>
        <v>0</v>
      </c>
      <c r="DN76" s="8">
        <f t="shared" si="53"/>
        <v>0</v>
      </c>
      <c r="DO76" s="177"/>
      <c r="DP76" s="141"/>
      <c r="DQ76" s="141"/>
      <c r="DR76" s="141"/>
      <c r="DS76" s="141"/>
      <c r="DT76" s="141"/>
      <c r="DU76" s="141"/>
      <c r="DV76" s="141"/>
      <c r="DW76" s="141"/>
      <c r="DX76" s="141"/>
      <c r="DY76" s="141"/>
      <c r="DZ76" s="141"/>
      <c r="EA76" s="141"/>
      <c r="EB76" s="141" t="s">
        <v>417</v>
      </c>
      <c r="EC76" s="141" t="s">
        <v>417</v>
      </c>
      <c r="ED76" s="141" t="s">
        <v>417</v>
      </c>
      <c r="EE76" s="141" t="s">
        <v>417</v>
      </c>
      <c r="EF76" s="141" t="s">
        <v>417</v>
      </c>
      <c r="EG76" s="141" t="s">
        <v>417</v>
      </c>
      <c r="EH76" s="141" t="s">
        <v>417</v>
      </c>
      <c r="EI76" s="141" t="s">
        <v>417</v>
      </c>
      <c r="EJ76" s="142" t="s">
        <v>417</v>
      </c>
      <c r="EK76" s="180"/>
    </row>
    <row r="77" spans="2:141" x14ac:dyDescent="0.25">
      <c r="B77" s="69" t="str">
        <f>IF(Profession="","",IF(HLOOKUP(Profession,Skills!$DO$3:$EK$126,ROW(D77)-2,FALSE)="","",HLOOKUP(Profession,Skills!$DO$3:$EK$126,ROW(D77)-2,FALSE)))</f>
        <v/>
      </c>
      <c r="C77" s="32"/>
      <c r="D77" s="35" t="s">
        <v>95</v>
      </c>
      <c r="E77" s="35" t="str">
        <f t="shared" si="130"/>
        <v>Magic Ritual</v>
      </c>
      <c r="F77" s="164"/>
      <c r="G77" s="33">
        <f ca="1">SUM(I77:L77)</f>
        <v>-9</v>
      </c>
      <c r="H77" s="33">
        <f ca="1">SUM(O77:(OFFSET(O77,0,Level)))</f>
        <v>0</v>
      </c>
      <c r="I77" s="33">
        <f ca="1">IF(Level=0,"",VLOOKUP(H77,RankBonus,2,FALSE))</f>
        <v>-25</v>
      </c>
      <c r="J77" s="33">
        <f>IF(Realm="",0,SUM(RS+RS+Me))</f>
        <v>16</v>
      </c>
      <c r="K77" s="33">
        <f t="shared" ca="1" si="131"/>
        <v>0</v>
      </c>
      <c r="L77" s="168"/>
      <c r="M77" s="33" t="str">
        <f>IF(D77="","",VLOOKUP(D77,DPCosts,2,FALSE))</f>
        <v>RS/RS/Me</v>
      </c>
      <c r="N77" s="33" t="str">
        <f>IF(OR(D77="", Profession=""),"",VLOOKUP(D77,DPCosts,MATCH(Profession,Professions,0)+2,FALSE))</f>
        <v>12/15</v>
      </c>
      <c r="O77" s="131"/>
      <c r="P77" s="168"/>
      <c r="Q77" s="168"/>
      <c r="R77" s="168"/>
      <c r="S77" s="168"/>
      <c r="T77" s="168"/>
      <c r="U77" s="164"/>
      <c r="V77" s="164"/>
      <c r="W77" s="164"/>
      <c r="X77" s="164"/>
      <c r="Y77" s="164"/>
      <c r="Z77" s="164"/>
      <c r="AA77" s="164"/>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68"/>
      <c r="BE77" s="168"/>
      <c r="BF77" s="168"/>
      <c r="BG77" s="168"/>
      <c r="BH77" s="168"/>
      <c r="BI77" s="168"/>
      <c r="BJ77" s="168"/>
      <c r="BK77" s="168"/>
      <c r="BL77" s="168"/>
      <c r="BM77" s="173"/>
      <c r="BO77" s="27" t="str">
        <f t="shared" si="105"/>
        <v>12</v>
      </c>
      <c r="BP77" s="8" t="str">
        <f t="shared" si="106"/>
        <v>15</v>
      </c>
      <c r="BQ77" s="8">
        <f t="shared" si="110"/>
        <v>0</v>
      </c>
      <c r="BR77" s="8">
        <f t="shared" si="111"/>
        <v>0</v>
      </c>
      <c r="BS77" s="8">
        <f t="shared" si="112"/>
        <v>0</v>
      </c>
      <c r="BT77" s="8">
        <f t="shared" si="113"/>
        <v>0</v>
      </c>
      <c r="BU77" s="8">
        <f t="shared" si="114"/>
        <v>0</v>
      </c>
      <c r="BV77" s="8">
        <f t="shared" si="115"/>
        <v>0</v>
      </c>
      <c r="BW77" s="8">
        <f t="shared" si="116"/>
        <v>0</v>
      </c>
      <c r="BX77" s="8">
        <f t="shared" si="117"/>
        <v>0</v>
      </c>
      <c r="BY77" s="8">
        <f t="shared" si="118"/>
        <v>0</v>
      </c>
      <c r="BZ77" s="8">
        <f t="shared" si="119"/>
        <v>0</v>
      </c>
      <c r="CA77" s="8">
        <f t="shared" si="120"/>
        <v>0</v>
      </c>
      <c r="CB77" s="8">
        <f t="shared" si="121"/>
        <v>0</v>
      </c>
      <c r="CC77" s="8">
        <f t="shared" si="122"/>
        <v>0</v>
      </c>
      <c r="CD77" s="8">
        <f t="shared" si="123"/>
        <v>0</v>
      </c>
      <c r="CE77" s="8">
        <f t="shared" si="124"/>
        <v>0</v>
      </c>
      <c r="CF77" s="8">
        <f t="shared" si="125"/>
        <v>0</v>
      </c>
      <c r="CG77" s="8">
        <f t="shared" si="126"/>
        <v>0</v>
      </c>
      <c r="CH77" s="8">
        <f t="shared" si="127"/>
        <v>0</v>
      </c>
      <c r="CI77" s="8">
        <f t="shared" si="128"/>
        <v>0</v>
      </c>
      <c r="CJ77" s="8">
        <f t="shared" ref="CJ77:DN77" si="132">IF(AI77=0,0,IF(AI77=1,INT($BO77),$BO77+$BP77*(AI77-1)))</f>
        <v>0</v>
      </c>
      <c r="CK77" s="8">
        <f t="shared" si="132"/>
        <v>0</v>
      </c>
      <c r="CL77" s="8">
        <f t="shared" si="132"/>
        <v>0</v>
      </c>
      <c r="CM77" s="8">
        <f t="shared" si="132"/>
        <v>0</v>
      </c>
      <c r="CN77" s="8">
        <f t="shared" si="132"/>
        <v>0</v>
      </c>
      <c r="CO77" s="8">
        <f t="shared" si="132"/>
        <v>0</v>
      </c>
      <c r="CP77" s="8">
        <f t="shared" si="132"/>
        <v>0</v>
      </c>
      <c r="CQ77" s="8">
        <f t="shared" si="132"/>
        <v>0</v>
      </c>
      <c r="CR77" s="8">
        <f t="shared" si="132"/>
        <v>0</v>
      </c>
      <c r="CS77" s="8">
        <f t="shared" si="132"/>
        <v>0</v>
      </c>
      <c r="CT77" s="8">
        <f t="shared" si="132"/>
        <v>0</v>
      </c>
      <c r="CU77" s="8">
        <f t="shared" si="132"/>
        <v>0</v>
      </c>
      <c r="CV77" s="8">
        <f t="shared" si="132"/>
        <v>0</v>
      </c>
      <c r="CW77" s="8">
        <f t="shared" si="132"/>
        <v>0</v>
      </c>
      <c r="CX77" s="8">
        <f t="shared" si="132"/>
        <v>0</v>
      </c>
      <c r="CY77" s="8">
        <f t="shared" si="132"/>
        <v>0</v>
      </c>
      <c r="CZ77" s="8">
        <f t="shared" si="132"/>
        <v>0</v>
      </c>
      <c r="DA77" s="8">
        <f t="shared" si="132"/>
        <v>0</v>
      </c>
      <c r="DB77" s="8">
        <f t="shared" si="132"/>
        <v>0</v>
      </c>
      <c r="DC77" s="8">
        <f t="shared" si="132"/>
        <v>0</v>
      </c>
      <c r="DD77" s="8">
        <f t="shared" si="132"/>
        <v>0</v>
      </c>
      <c r="DE77" s="8">
        <f t="shared" si="132"/>
        <v>0</v>
      </c>
      <c r="DF77" s="8">
        <f t="shared" si="132"/>
        <v>0</v>
      </c>
      <c r="DG77" s="8">
        <f t="shared" si="132"/>
        <v>0</v>
      </c>
      <c r="DH77" s="8">
        <f t="shared" si="132"/>
        <v>0</v>
      </c>
      <c r="DI77" s="8">
        <f t="shared" si="132"/>
        <v>0</v>
      </c>
      <c r="DJ77" s="8">
        <f t="shared" si="132"/>
        <v>0</v>
      </c>
      <c r="DK77" s="8">
        <f t="shared" si="132"/>
        <v>0</v>
      </c>
      <c r="DL77" s="8">
        <f t="shared" si="132"/>
        <v>0</v>
      </c>
      <c r="DM77" s="8">
        <f t="shared" si="132"/>
        <v>0</v>
      </c>
      <c r="DN77" s="8">
        <f t="shared" si="132"/>
        <v>0</v>
      </c>
      <c r="DO77" s="177"/>
      <c r="DP77" s="141"/>
      <c r="DQ77" s="141"/>
      <c r="DR77" s="141"/>
      <c r="DS77" s="141"/>
      <c r="DT77" s="141"/>
      <c r="DU77" s="141"/>
      <c r="DV77" s="141"/>
      <c r="DW77" s="141"/>
      <c r="DX77" s="141"/>
      <c r="DY77" s="141"/>
      <c r="DZ77" s="141"/>
      <c r="EA77" s="141"/>
      <c r="EB77" s="141" t="s">
        <v>417</v>
      </c>
      <c r="EC77" s="141" t="s">
        <v>417</v>
      </c>
      <c r="ED77" s="141" t="s">
        <v>417</v>
      </c>
      <c r="EE77" s="141" t="s">
        <v>417</v>
      </c>
      <c r="EF77" s="141" t="s">
        <v>417</v>
      </c>
      <c r="EG77" s="141" t="s">
        <v>417</v>
      </c>
      <c r="EH77" s="141" t="s">
        <v>417</v>
      </c>
      <c r="EI77" s="141" t="s">
        <v>417</v>
      </c>
      <c r="EJ77" s="142" t="s">
        <v>417</v>
      </c>
      <c r="EK77" s="180"/>
    </row>
    <row r="78" spans="2:141" x14ac:dyDescent="0.25">
      <c r="B78" s="69" t="str">
        <f>IF(Profession="","",IF(HLOOKUP(Profession,Skills!$DO$3:$EK$126,ROW(D78)-2,FALSE)="","",HLOOKUP(Profession,Skills!$DO$3:$EK$126,ROW(D78)-2,FALSE)))</f>
        <v/>
      </c>
      <c r="C78" s="32"/>
      <c r="D78" s="35" t="s">
        <v>95</v>
      </c>
      <c r="E78" s="35" t="str">
        <f t="shared" si="130"/>
        <v>Magic Ritual</v>
      </c>
      <c r="F78" s="164"/>
      <c r="G78" s="33">
        <f ca="1">SUM(I78:L78)</f>
        <v>-9</v>
      </c>
      <c r="H78" s="33">
        <f ca="1">SUM(O78:(OFFSET(O78,0,Level)))</f>
        <v>0</v>
      </c>
      <c r="I78" s="33">
        <f ca="1">IF(Level=0,"",VLOOKUP(H78,RankBonus,2,FALSE))</f>
        <v>-25</v>
      </c>
      <c r="J78" s="33">
        <f>IF(Realm="",0,SUM(RS+RS+Me))</f>
        <v>16</v>
      </c>
      <c r="K78" s="33">
        <f t="shared" ca="1" si="131"/>
        <v>0</v>
      </c>
      <c r="L78" s="168"/>
      <c r="M78" s="33" t="str">
        <f>IF(D78="","",VLOOKUP(D78,DPCosts,2,FALSE))</f>
        <v>RS/RS/Me</v>
      </c>
      <c r="N78" s="33" t="str">
        <f>IF(OR(D78="", Profession=""),"",VLOOKUP(D78,DPCosts,MATCH(Profession,Professions,0)+2,FALSE))</f>
        <v>12/15</v>
      </c>
      <c r="O78" s="131"/>
      <c r="P78" s="168"/>
      <c r="Q78" s="168"/>
      <c r="R78" s="168"/>
      <c r="S78" s="168"/>
      <c r="T78" s="168"/>
      <c r="U78" s="164"/>
      <c r="V78" s="164"/>
      <c r="W78" s="164"/>
      <c r="X78" s="164"/>
      <c r="Y78" s="164"/>
      <c r="Z78" s="164"/>
      <c r="AA78" s="164"/>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73"/>
      <c r="BO78" s="27" t="str">
        <f t="shared" si="105"/>
        <v>12</v>
      </c>
      <c r="BP78" s="8" t="str">
        <f t="shared" si="106"/>
        <v>15</v>
      </c>
      <c r="BQ78" s="8">
        <f t="shared" si="110"/>
        <v>0</v>
      </c>
      <c r="BR78" s="8">
        <f t="shared" si="111"/>
        <v>0</v>
      </c>
      <c r="BS78" s="8">
        <f t="shared" si="112"/>
        <v>0</v>
      </c>
      <c r="BT78" s="8">
        <f t="shared" si="113"/>
        <v>0</v>
      </c>
      <c r="BU78" s="8">
        <f t="shared" si="114"/>
        <v>0</v>
      </c>
      <c r="BV78" s="8">
        <f t="shared" si="115"/>
        <v>0</v>
      </c>
      <c r="BW78" s="8">
        <f t="shared" si="116"/>
        <v>0</v>
      </c>
      <c r="BX78" s="8">
        <f t="shared" si="117"/>
        <v>0</v>
      </c>
      <c r="BY78" s="8">
        <f t="shared" si="118"/>
        <v>0</v>
      </c>
      <c r="BZ78" s="8">
        <f t="shared" si="119"/>
        <v>0</v>
      </c>
      <c r="CA78" s="8">
        <f t="shared" si="120"/>
        <v>0</v>
      </c>
      <c r="CB78" s="8">
        <f t="shared" si="121"/>
        <v>0</v>
      </c>
      <c r="CC78" s="8">
        <f t="shared" si="122"/>
        <v>0</v>
      </c>
      <c r="CD78" s="8">
        <f t="shared" si="123"/>
        <v>0</v>
      </c>
      <c r="CE78" s="8">
        <f t="shared" si="124"/>
        <v>0</v>
      </c>
      <c r="CF78" s="8">
        <f t="shared" si="125"/>
        <v>0</v>
      </c>
      <c r="CG78" s="8">
        <f t="shared" si="126"/>
        <v>0</v>
      </c>
      <c r="CH78" s="8">
        <f t="shared" si="127"/>
        <v>0</v>
      </c>
      <c r="CI78" s="8">
        <f t="shared" si="128"/>
        <v>0</v>
      </c>
      <c r="CJ78" s="8">
        <f t="shared" si="103"/>
        <v>0</v>
      </c>
      <c r="CK78" s="8">
        <f t="shared" si="103"/>
        <v>0</v>
      </c>
      <c r="CL78" s="8">
        <f t="shared" si="103"/>
        <v>0</v>
      </c>
      <c r="CM78" s="8">
        <f t="shared" si="103"/>
        <v>0</v>
      </c>
      <c r="CN78" s="8">
        <f t="shared" si="103"/>
        <v>0</v>
      </c>
      <c r="CO78" s="8">
        <f t="shared" si="103"/>
        <v>0</v>
      </c>
      <c r="CP78" s="8">
        <f t="shared" si="103"/>
        <v>0</v>
      </c>
      <c r="CQ78" s="8">
        <f t="shared" si="30"/>
        <v>0</v>
      </c>
      <c r="CR78" s="8">
        <f t="shared" si="31"/>
        <v>0</v>
      </c>
      <c r="CS78" s="8">
        <f t="shared" si="32"/>
        <v>0</v>
      </c>
      <c r="CT78" s="8">
        <f t="shared" si="33"/>
        <v>0</v>
      </c>
      <c r="CU78" s="8">
        <f t="shared" si="34"/>
        <v>0</v>
      </c>
      <c r="CV78" s="8">
        <f t="shared" si="35"/>
        <v>0</v>
      </c>
      <c r="CW78" s="8">
        <f t="shared" si="36"/>
        <v>0</v>
      </c>
      <c r="CX78" s="8">
        <f t="shared" si="37"/>
        <v>0</v>
      </c>
      <c r="CY78" s="8">
        <f t="shared" si="38"/>
        <v>0</v>
      </c>
      <c r="CZ78" s="8">
        <f t="shared" si="39"/>
        <v>0</v>
      </c>
      <c r="DA78" s="8">
        <f t="shared" si="40"/>
        <v>0</v>
      </c>
      <c r="DB78" s="8">
        <f t="shared" si="41"/>
        <v>0</v>
      </c>
      <c r="DC78" s="8">
        <f t="shared" si="42"/>
        <v>0</v>
      </c>
      <c r="DD78" s="8">
        <f t="shared" si="43"/>
        <v>0</v>
      </c>
      <c r="DE78" s="8">
        <f t="shared" si="44"/>
        <v>0</v>
      </c>
      <c r="DF78" s="8">
        <f t="shared" si="45"/>
        <v>0</v>
      </c>
      <c r="DG78" s="8">
        <f t="shared" si="46"/>
        <v>0</v>
      </c>
      <c r="DH78" s="8">
        <f t="shared" si="47"/>
        <v>0</v>
      </c>
      <c r="DI78" s="8">
        <f t="shared" si="48"/>
        <v>0</v>
      </c>
      <c r="DJ78" s="8">
        <f t="shared" si="49"/>
        <v>0</v>
      </c>
      <c r="DK78" s="8">
        <f t="shared" si="50"/>
        <v>0</v>
      </c>
      <c r="DL78" s="8">
        <f t="shared" si="51"/>
        <v>0</v>
      </c>
      <c r="DM78" s="8">
        <f t="shared" si="52"/>
        <v>0</v>
      </c>
      <c r="DN78" s="8">
        <f t="shared" si="53"/>
        <v>0</v>
      </c>
      <c r="DO78" s="177"/>
      <c r="DP78" s="141"/>
      <c r="DQ78" s="141"/>
      <c r="DR78" s="141"/>
      <c r="DS78" s="141"/>
      <c r="DT78" s="141"/>
      <c r="DU78" s="141"/>
      <c r="DV78" s="141"/>
      <c r="DW78" s="141"/>
      <c r="DX78" s="141"/>
      <c r="DY78" s="141"/>
      <c r="DZ78" s="141"/>
      <c r="EA78" s="141"/>
      <c r="EB78" s="141" t="s">
        <v>417</v>
      </c>
      <c r="EC78" s="141" t="s">
        <v>417</v>
      </c>
      <c r="ED78" s="141" t="s">
        <v>417</v>
      </c>
      <c r="EE78" s="141" t="s">
        <v>417</v>
      </c>
      <c r="EF78" s="141" t="s">
        <v>417</v>
      </c>
      <c r="EG78" s="141" t="s">
        <v>417</v>
      </c>
      <c r="EH78" s="141" t="s">
        <v>417</v>
      </c>
      <c r="EI78" s="141" t="s">
        <v>417</v>
      </c>
      <c r="EJ78" s="142" t="s">
        <v>417</v>
      </c>
      <c r="EK78" s="180"/>
    </row>
    <row r="79" spans="2:141" x14ac:dyDescent="0.25">
      <c r="B79" s="69" t="str">
        <f>IF(Profession="","",IF(HLOOKUP(Profession,Skills!$DO$3:$EK$126,ROW(D79)-2,FALSE)="","",HLOOKUP(Profession,Skills!$DO$3:$EK$126,ROW(D79)-2,FALSE)))</f>
        <v/>
      </c>
      <c r="C79" s="32"/>
      <c r="D79" s="35" t="s">
        <v>95</v>
      </c>
      <c r="E79" s="35" t="str">
        <f t="shared" si="130"/>
        <v>Magic Ritual</v>
      </c>
      <c r="F79" s="164"/>
      <c r="G79" s="33">
        <f ca="1">SUM(I79:L79)</f>
        <v>-9</v>
      </c>
      <c r="H79" s="33">
        <f ca="1">SUM(O79:(OFFSET(O79,0,Level)))</f>
        <v>0</v>
      </c>
      <c r="I79" s="33">
        <f ca="1">IF(Level=0,"",VLOOKUP(H79,RankBonus,2,FALSE))</f>
        <v>-25</v>
      </c>
      <c r="J79" s="33">
        <f>IF(Realm="",0,SUM(RS+RS+Me))</f>
        <v>16</v>
      </c>
      <c r="K79" s="33">
        <f t="shared" ca="1" si="131"/>
        <v>0</v>
      </c>
      <c r="L79" s="168"/>
      <c r="M79" s="33" t="str">
        <f>IF(D79="","",VLOOKUP(D79,DPCosts,2,FALSE))</f>
        <v>RS/RS/Me</v>
      </c>
      <c r="N79" s="33" t="str">
        <f>IF(OR(D79="", Profession=""),"",VLOOKUP(D79,DPCosts,MATCH(Profession,Professions,0)+2,FALSE))</f>
        <v>12/15</v>
      </c>
      <c r="O79" s="131"/>
      <c r="P79" s="168"/>
      <c r="Q79" s="168"/>
      <c r="R79" s="168"/>
      <c r="S79" s="168"/>
      <c r="T79" s="168"/>
      <c r="U79" s="164"/>
      <c r="V79" s="164"/>
      <c r="W79" s="164"/>
      <c r="X79" s="164"/>
      <c r="Y79" s="164"/>
      <c r="Z79" s="164"/>
      <c r="AA79" s="164"/>
      <c r="AB79" s="168"/>
      <c r="AC79" s="168"/>
      <c r="AD79" s="168"/>
      <c r="AE79" s="168"/>
      <c r="AF79" s="168"/>
      <c r="AG79" s="168"/>
      <c r="AH79" s="168"/>
      <c r="AI79" s="168"/>
      <c r="AJ79" s="168"/>
      <c r="AK79" s="168"/>
      <c r="AL79" s="168"/>
      <c r="AM79" s="168"/>
      <c r="AN79" s="168"/>
      <c r="AO79" s="168"/>
      <c r="AP79" s="168"/>
      <c r="AQ79" s="168"/>
      <c r="AR79" s="168"/>
      <c r="AS79" s="168"/>
      <c r="AT79" s="168"/>
      <c r="AU79" s="168"/>
      <c r="AV79" s="168"/>
      <c r="AW79" s="168"/>
      <c r="AX79" s="168"/>
      <c r="AY79" s="168"/>
      <c r="AZ79" s="168"/>
      <c r="BA79" s="168"/>
      <c r="BB79" s="168"/>
      <c r="BC79" s="168"/>
      <c r="BD79" s="168"/>
      <c r="BE79" s="168"/>
      <c r="BF79" s="168"/>
      <c r="BG79" s="168"/>
      <c r="BH79" s="168"/>
      <c r="BI79" s="168"/>
      <c r="BJ79" s="168"/>
      <c r="BK79" s="168"/>
      <c r="BL79" s="168"/>
      <c r="BM79" s="173"/>
      <c r="BO79" s="27" t="str">
        <f t="shared" si="105"/>
        <v>12</v>
      </c>
      <c r="BP79" s="8" t="str">
        <f t="shared" si="106"/>
        <v>15</v>
      </c>
      <c r="BQ79" s="8">
        <f t="shared" si="110"/>
        <v>0</v>
      </c>
      <c r="BR79" s="8">
        <f t="shared" si="111"/>
        <v>0</v>
      </c>
      <c r="BS79" s="8">
        <f t="shared" si="112"/>
        <v>0</v>
      </c>
      <c r="BT79" s="8">
        <f t="shared" si="113"/>
        <v>0</v>
      </c>
      <c r="BU79" s="8">
        <f t="shared" si="114"/>
        <v>0</v>
      </c>
      <c r="BV79" s="8">
        <f t="shared" si="115"/>
        <v>0</v>
      </c>
      <c r="BW79" s="8">
        <f t="shared" si="116"/>
        <v>0</v>
      </c>
      <c r="BX79" s="8">
        <f t="shared" si="117"/>
        <v>0</v>
      </c>
      <c r="BY79" s="8">
        <f t="shared" si="118"/>
        <v>0</v>
      </c>
      <c r="BZ79" s="8">
        <f t="shared" si="119"/>
        <v>0</v>
      </c>
      <c r="CA79" s="8">
        <f t="shared" si="120"/>
        <v>0</v>
      </c>
      <c r="CB79" s="8">
        <f t="shared" si="121"/>
        <v>0</v>
      </c>
      <c r="CC79" s="8">
        <f t="shared" si="122"/>
        <v>0</v>
      </c>
      <c r="CD79" s="8">
        <f t="shared" si="123"/>
        <v>0</v>
      </c>
      <c r="CE79" s="8">
        <f t="shared" si="124"/>
        <v>0</v>
      </c>
      <c r="CF79" s="8">
        <f t="shared" si="125"/>
        <v>0</v>
      </c>
      <c r="CG79" s="8">
        <f t="shared" si="126"/>
        <v>0</v>
      </c>
      <c r="CH79" s="8">
        <f t="shared" si="127"/>
        <v>0</v>
      </c>
      <c r="CI79" s="8">
        <f t="shared" si="128"/>
        <v>0</v>
      </c>
      <c r="CJ79" s="8">
        <f t="shared" ref="CJ79:DN79" si="133">IF(AI79=0,0,IF(AI79=1,INT($BO79),$BO79+$BP79*(AI79-1)))</f>
        <v>0</v>
      </c>
      <c r="CK79" s="8">
        <f t="shared" si="133"/>
        <v>0</v>
      </c>
      <c r="CL79" s="8">
        <f t="shared" si="133"/>
        <v>0</v>
      </c>
      <c r="CM79" s="8">
        <f t="shared" si="133"/>
        <v>0</v>
      </c>
      <c r="CN79" s="8">
        <f t="shared" si="133"/>
        <v>0</v>
      </c>
      <c r="CO79" s="8">
        <f t="shared" si="133"/>
        <v>0</v>
      </c>
      <c r="CP79" s="8">
        <f t="shared" si="133"/>
        <v>0</v>
      </c>
      <c r="CQ79" s="8">
        <f t="shared" si="133"/>
        <v>0</v>
      </c>
      <c r="CR79" s="8">
        <f t="shared" si="133"/>
        <v>0</v>
      </c>
      <c r="CS79" s="8">
        <f t="shared" si="133"/>
        <v>0</v>
      </c>
      <c r="CT79" s="8">
        <f t="shared" si="133"/>
        <v>0</v>
      </c>
      <c r="CU79" s="8">
        <f t="shared" si="133"/>
        <v>0</v>
      </c>
      <c r="CV79" s="8">
        <f t="shared" si="133"/>
        <v>0</v>
      </c>
      <c r="CW79" s="8">
        <f t="shared" si="133"/>
        <v>0</v>
      </c>
      <c r="CX79" s="8">
        <f t="shared" si="133"/>
        <v>0</v>
      </c>
      <c r="CY79" s="8">
        <f t="shared" si="133"/>
        <v>0</v>
      </c>
      <c r="CZ79" s="8">
        <f t="shared" si="133"/>
        <v>0</v>
      </c>
      <c r="DA79" s="8">
        <f t="shared" si="133"/>
        <v>0</v>
      </c>
      <c r="DB79" s="8">
        <f t="shared" si="133"/>
        <v>0</v>
      </c>
      <c r="DC79" s="8">
        <f t="shared" si="133"/>
        <v>0</v>
      </c>
      <c r="DD79" s="8">
        <f t="shared" si="133"/>
        <v>0</v>
      </c>
      <c r="DE79" s="8">
        <f t="shared" si="133"/>
        <v>0</v>
      </c>
      <c r="DF79" s="8">
        <f t="shared" si="133"/>
        <v>0</v>
      </c>
      <c r="DG79" s="8">
        <f t="shared" si="133"/>
        <v>0</v>
      </c>
      <c r="DH79" s="8">
        <f t="shared" si="133"/>
        <v>0</v>
      </c>
      <c r="DI79" s="8">
        <f t="shared" si="133"/>
        <v>0</v>
      </c>
      <c r="DJ79" s="8">
        <f t="shared" si="133"/>
        <v>0</v>
      </c>
      <c r="DK79" s="8">
        <f t="shared" si="133"/>
        <v>0</v>
      </c>
      <c r="DL79" s="8">
        <f t="shared" si="133"/>
        <v>0</v>
      </c>
      <c r="DM79" s="8">
        <f t="shared" si="133"/>
        <v>0</v>
      </c>
      <c r="DN79" s="8">
        <f t="shared" si="133"/>
        <v>0</v>
      </c>
      <c r="DO79" s="177"/>
      <c r="DP79" s="141"/>
      <c r="DQ79" s="141"/>
      <c r="DR79" s="141"/>
      <c r="DS79" s="141"/>
      <c r="DT79" s="141"/>
      <c r="DU79" s="141"/>
      <c r="DV79" s="141"/>
      <c r="DW79" s="141"/>
      <c r="DX79" s="141"/>
      <c r="DY79" s="141"/>
      <c r="DZ79" s="141"/>
      <c r="EA79" s="141"/>
      <c r="EB79" s="141" t="s">
        <v>417</v>
      </c>
      <c r="EC79" s="141" t="s">
        <v>417</v>
      </c>
      <c r="ED79" s="141" t="s">
        <v>417</v>
      </c>
      <c r="EE79" s="141" t="s">
        <v>417</v>
      </c>
      <c r="EF79" s="141" t="s">
        <v>417</v>
      </c>
      <c r="EG79" s="141" t="s">
        <v>417</v>
      </c>
      <c r="EH79" s="141" t="s">
        <v>417</v>
      </c>
      <c r="EI79" s="141" t="s">
        <v>417</v>
      </c>
      <c r="EJ79" s="142" t="s">
        <v>417</v>
      </c>
      <c r="EK79" s="180"/>
    </row>
    <row r="80" spans="2:141" x14ac:dyDescent="0.25">
      <c r="B80" s="69" t="str">
        <f>IF(Profession="","",IF(HLOOKUP(Profession,Skills!$DO$3:$EK$126,ROW(D80)-2,FALSE)="","",HLOOKUP(Profession,Skills!$DO$3:$EK$126,ROW(D80)-2,FALSE)))</f>
        <v/>
      </c>
      <c r="C80" s="32"/>
      <c r="D80" s="35" t="s">
        <v>95</v>
      </c>
      <c r="E80" s="35" t="str">
        <f t="shared" si="130"/>
        <v>Magic Ritual</v>
      </c>
      <c r="F80" s="164"/>
      <c r="G80" s="33">
        <f t="shared" ca="1" si="5"/>
        <v>-9</v>
      </c>
      <c r="H80" s="33">
        <f ca="1">SUM(O80:(OFFSET(O80,0,Level)))</f>
        <v>0</v>
      </c>
      <c r="I80" s="33">
        <f t="shared" ref="I80:I103" ca="1" si="134">IF(Level=0,"",VLOOKUP(H80,RankBonus,2,FALSE))</f>
        <v>-25</v>
      </c>
      <c r="J80" s="33">
        <f>IF(Realm="",0,SUM(RS+RS+Me))</f>
        <v>16</v>
      </c>
      <c r="K80" s="33">
        <f t="shared" ca="1" si="131"/>
        <v>0</v>
      </c>
      <c r="L80" s="168"/>
      <c r="M80" s="33" t="str">
        <f t="shared" si="93"/>
        <v>RS/RS/Me</v>
      </c>
      <c r="N80" s="33" t="str">
        <f t="shared" si="94"/>
        <v>12/15</v>
      </c>
      <c r="O80" s="131"/>
      <c r="P80" s="168"/>
      <c r="Q80" s="168"/>
      <c r="R80" s="168"/>
      <c r="S80" s="168"/>
      <c r="T80" s="168"/>
      <c r="U80" s="164"/>
      <c r="V80" s="164"/>
      <c r="W80" s="164"/>
      <c r="X80" s="164"/>
      <c r="Y80" s="164"/>
      <c r="Z80" s="164"/>
      <c r="AA80" s="164"/>
      <c r="AB80" s="168"/>
      <c r="AC80" s="168"/>
      <c r="AD80" s="168"/>
      <c r="AE80" s="168"/>
      <c r="AF80" s="168"/>
      <c r="AG80" s="168"/>
      <c r="AH80" s="168"/>
      <c r="AI80" s="168"/>
      <c r="AJ80" s="168"/>
      <c r="AK80" s="168"/>
      <c r="AL80" s="168"/>
      <c r="AM80" s="168"/>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73"/>
      <c r="BO80" s="27" t="str">
        <f t="shared" si="105"/>
        <v>12</v>
      </c>
      <c r="BP80" s="8" t="str">
        <f t="shared" si="106"/>
        <v>15</v>
      </c>
      <c r="BQ80" s="8">
        <f t="shared" si="110"/>
        <v>0</v>
      </c>
      <c r="BR80" s="8">
        <f t="shared" si="111"/>
        <v>0</v>
      </c>
      <c r="BS80" s="8">
        <f t="shared" si="112"/>
        <v>0</v>
      </c>
      <c r="BT80" s="8">
        <f t="shared" si="113"/>
        <v>0</v>
      </c>
      <c r="BU80" s="8">
        <f t="shared" si="114"/>
        <v>0</v>
      </c>
      <c r="BV80" s="8">
        <f t="shared" si="115"/>
        <v>0</v>
      </c>
      <c r="BW80" s="8">
        <f t="shared" si="116"/>
        <v>0</v>
      </c>
      <c r="BX80" s="8">
        <f t="shared" si="117"/>
        <v>0</v>
      </c>
      <c r="BY80" s="8">
        <f t="shared" si="118"/>
        <v>0</v>
      </c>
      <c r="BZ80" s="8">
        <f t="shared" si="119"/>
        <v>0</v>
      </c>
      <c r="CA80" s="8">
        <f t="shared" si="120"/>
        <v>0</v>
      </c>
      <c r="CB80" s="8">
        <f t="shared" si="121"/>
        <v>0</v>
      </c>
      <c r="CC80" s="8">
        <f t="shared" si="122"/>
        <v>0</v>
      </c>
      <c r="CD80" s="8">
        <f t="shared" si="123"/>
        <v>0</v>
      </c>
      <c r="CE80" s="8">
        <f t="shared" si="124"/>
        <v>0</v>
      </c>
      <c r="CF80" s="8">
        <f t="shared" si="125"/>
        <v>0</v>
      </c>
      <c r="CG80" s="8">
        <f t="shared" si="126"/>
        <v>0</v>
      </c>
      <c r="CH80" s="8">
        <f t="shared" si="127"/>
        <v>0</v>
      </c>
      <c r="CI80" s="8">
        <f t="shared" si="128"/>
        <v>0</v>
      </c>
      <c r="CJ80" s="8">
        <f t="shared" si="103"/>
        <v>0</v>
      </c>
      <c r="CK80" s="8">
        <f t="shared" si="103"/>
        <v>0</v>
      </c>
      <c r="CL80" s="8">
        <f t="shared" si="103"/>
        <v>0</v>
      </c>
      <c r="CM80" s="8">
        <f t="shared" si="103"/>
        <v>0</v>
      </c>
      <c r="CN80" s="8">
        <f t="shared" si="103"/>
        <v>0</v>
      </c>
      <c r="CO80" s="8">
        <f t="shared" si="103"/>
        <v>0</v>
      </c>
      <c r="CP80" s="8">
        <f t="shared" si="103"/>
        <v>0</v>
      </c>
      <c r="CQ80" s="8">
        <f t="shared" si="30"/>
        <v>0</v>
      </c>
      <c r="CR80" s="8">
        <f t="shared" si="31"/>
        <v>0</v>
      </c>
      <c r="CS80" s="8">
        <f t="shared" si="32"/>
        <v>0</v>
      </c>
      <c r="CT80" s="8">
        <f t="shared" si="33"/>
        <v>0</v>
      </c>
      <c r="CU80" s="8">
        <f t="shared" si="34"/>
        <v>0</v>
      </c>
      <c r="CV80" s="8">
        <f t="shared" si="35"/>
        <v>0</v>
      </c>
      <c r="CW80" s="8">
        <f t="shared" si="36"/>
        <v>0</v>
      </c>
      <c r="CX80" s="8">
        <f t="shared" si="37"/>
        <v>0</v>
      </c>
      <c r="CY80" s="8">
        <f t="shared" si="38"/>
        <v>0</v>
      </c>
      <c r="CZ80" s="8">
        <f t="shared" si="39"/>
        <v>0</v>
      </c>
      <c r="DA80" s="8">
        <f t="shared" si="40"/>
        <v>0</v>
      </c>
      <c r="DB80" s="8">
        <f t="shared" si="41"/>
        <v>0</v>
      </c>
      <c r="DC80" s="8">
        <f t="shared" si="42"/>
        <v>0</v>
      </c>
      <c r="DD80" s="8">
        <f t="shared" si="43"/>
        <v>0</v>
      </c>
      <c r="DE80" s="8">
        <f t="shared" si="44"/>
        <v>0</v>
      </c>
      <c r="DF80" s="8">
        <f t="shared" si="45"/>
        <v>0</v>
      </c>
      <c r="DG80" s="8">
        <f t="shared" si="46"/>
        <v>0</v>
      </c>
      <c r="DH80" s="8">
        <f t="shared" si="47"/>
        <v>0</v>
      </c>
      <c r="DI80" s="8">
        <f t="shared" si="48"/>
        <v>0</v>
      </c>
      <c r="DJ80" s="8">
        <f t="shared" si="49"/>
        <v>0</v>
      </c>
      <c r="DK80" s="8">
        <f t="shared" si="50"/>
        <v>0</v>
      </c>
      <c r="DL80" s="8">
        <f t="shared" si="51"/>
        <v>0</v>
      </c>
      <c r="DM80" s="8">
        <f t="shared" si="52"/>
        <v>0</v>
      </c>
      <c r="DN80" s="8">
        <f t="shared" si="53"/>
        <v>0</v>
      </c>
      <c r="DO80" s="177"/>
      <c r="DP80" s="141"/>
      <c r="DQ80" s="141"/>
      <c r="DR80" s="141"/>
      <c r="DS80" s="141"/>
      <c r="DT80" s="141"/>
      <c r="DU80" s="141"/>
      <c r="DV80" s="141"/>
      <c r="DW80" s="141"/>
      <c r="DX80" s="141"/>
      <c r="DY80" s="141"/>
      <c r="DZ80" s="141"/>
      <c r="EA80" s="141"/>
      <c r="EB80" s="141" t="s">
        <v>417</v>
      </c>
      <c r="EC80" s="141" t="s">
        <v>417</v>
      </c>
      <c r="ED80" s="141" t="s">
        <v>417</v>
      </c>
      <c r="EE80" s="141" t="s">
        <v>417</v>
      </c>
      <c r="EF80" s="141" t="s">
        <v>417</v>
      </c>
      <c r="EG80" s="141" t="s">
        <v>417</v>
      </c>
      <c r="EH80" s="141" t="s">
        <v>417</v>
      </c>
      <c r="EI80" s="141" t="s">
        <v>417</v>
      </c>
      <c r="EJ80" s="142" t="s">
        <v>417</v>
      </c>
      <c r="EK80" s="180"/>
    </row>
    <row r="81" spans="2:141" x14ac:dyDescent="0.25">
      <c r="B81" s="69" t="str">
        <f>IF(Profession="","",IF(HLOOKUP(Profession,Skills!$DO$3:$EK$126,ROW(D81)-2,FALSE)="","",HLOOKUP(Profession,Skills!$DO$3:$EK$126,ROW(D81)-2,FALSE)))</f>
        <v/>
      </c>
      <c r="C81" s="32"/>
      <c r="D81" s="35" t="s">
        <v>96</v>
      </c>
      <c r="E81" s="35" t="str">
        <f t="shared" si="130"/>
        <v>Power Development*</v>
      </c>
      <c r="F81" s="52"/>
      <c r="G81" s="33">
        <f ca="1">IF(OR(I81+J81+K81+L81&lt;=0),0,I81+J81+K81+L81)</f>
        <v>0</v>
      </c>
      <c r="H81" s="33">
        <f ca="1">SUM(O81:(OFFSET(O81,0,Level)))</f>
        <v>0</v>
      </c>
      <c r="I81" s="33">
        <f t="shared" ca="1" si="134"/>
        <v>-25</v>
      </c>
      <c r="J81" s="33">
        <f>IF(Realm="",0,SUM(RS+RS+Co))</f>
        <v>16</v>
      </c>
      <c r="K81" s="33">
        <f t="shared" ca="1" si="131"/>
        <v>0</v>
      </c>
      <c r="L81" s="168"/>
      <c r="M81" s="33" t="str">
        <f t="shared" si="93"/>
        <v>RS/RS/Co</v>
      </c>
      <c r="N81" s="33" t="str">
        <f t="shared" si="94"/>
        <v>12/15</v>
      </c>
      <c r="O81" s="131"/>
      <c r="P81" s="168"/>
      <c r="Q81" s="168"/>
      <c r="R81" s="168"/>
      <c r="S81" s="168"/>
      <c r="T81" s="168"/>
      <c r="U81" s="164"/>
      <c r="V81" s="164"/>
      <c r="W81" s="164"/>
      <c r="X81" s="164"/>
      <c r="Y81" s="164"/>
      <c r="Z81" s="164"/>
      <c r="AA81" s="164"/>
      <c r="AB81" s="168"/>
      <c r="AC81" s="168"/>
      <c r="AD81" s="168"/>
      <c r="AE81" s="168"/>
      <c r="AF81" s="168"/>
      <c r="AG81" s="168"/>
      <c r="AH81" s="168"/>
      <c r="AI81" s="168"/>
      <c r="AJ81" s="168"/>
      <c r="AK81" s="168"/>
      <c r="AL81" s="168"/>
      <c r="AM81" s="168"/>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73"/>
      <c r="BO81" s="27" t="str">
        <f t="shared" si="105"/>
        <v>12</v>
      </c>
      <c r="BP81" s="8" t="str">
        <f t="shared" si="106"/>
        <v>15</v>
      </c>
      <c r="BQ81" s="8">
        <f t="shared" si="110"/>
        <v>0</v>
      </c>
      <c r="BR81" s="8">
        <f t="shared" si="111"/>
        <v>0</v>
      </c>
      <c r="BS81" s="8">
        <f t="shared" si="112"/>
        <v>0</v>
      </c>
      <c r="BT81" s="8">
        <f t="shared" si="113"/>
        <v>0</v>
      </c>
      <c r="BU81" s="8">
        <f t="shared" si="114"/>
        <v>0</v>
      </c>
      <c r="BV81" s="8">
        <f t="shared" si="115"/>
        <v>0</v>
      </c>
      <c r="BW81" s="8">
        <f t="shared" si="116"/>
        <v>0</v>
      </c>
      <c r="BX81" s="8">
        <f t="shared" si="117"/>
        <v>0</v>
      </c>
      <c r="BY81" s="8">
        <f t="shared" si="118"/>
        <v>0</v>
      </c>
      <c r="BZ81" s="8">
        <f t="shared" si="119"/>
        <v>0</v>
      </c>
      <c r="CA81" s="8">
        <f t="shared" si="120"/>
        <v>0</v>
      </c>
      <c r="CB81" s="8">
        <f t="shared" si="121"/>
        <v>0</v>
      </c>
      <c r="CC81" s="8">
        <f t="shared" si="122"/>
        <v>0</v>
      </c>
      <c r="CD81" s="8">
        <f t="shared" si="123"/>
        <v>0</v>
      </c>
      <c r="CE81" s="8">
        <f t="shared" si="124"/>
        <v>0</v>
      </c>
      <c r="CF81" s="8">
        <f t="shared" si="125"/>
        <v>0</v>
      </c>
      <c r="CG81" s="8">
        <f t="shared" si="126"/>
        <v>0</v>
      </c>
      <c r="CH81" s="8">
        <f t="shared" si="127"/>
        <v>0</v>
      </c>
      <c r="CI81" s="8">
        <f t="shared" si="128"/>
        <v>0</v>
      </c>
      <c r="CJ81" s="8">
        <f t="shared" si="103"/>
        <v>0</v>
      </c>
      <c r="CK81" s="8">
        <f t="shared" si="103"/>
        <v>0</v>
      </c>
      <c r="CL81" s="8">
        <f t="shared" si="103"/>
        <v>0</v>
      </c>
      <c r="CM81" s="8">
        <f t="shared" si="103"/>
        <v>0</v>
      </c>
      <c r="CN81" s="8">
        <f t="shared" si="103"/>
        <v>0</v>
      </c>
      <c r="CO81" s="8">
        <f t="shared" si="103"/>
        <v>0</v>
      </c>
      <c r="CP81" s="8">
        <f t="shared" si="103"/>
        <v>0</v>
      </c>
      <c r="CQ81" s="8">
        <f t="shared" si="30"/>
        <v>0</v>
      </c>
      <c r="CR81" s="8">
        <f t="shared" si="31"/>
        <v>0</v>
      </c>
      <c r="CS81" s="8">
        <f t="shared" si="32"/>
        <v>0</v>
      </c>
      <c r="CT81" s="8">
        <f t="shared" si="33"/>
        <v>0</v>
      </c>
      <c r="CU81" s="8">
        <f t="shared" si="34"/>
        <v>0</v>
      </c>
      <c r="CV81" s="8">
        <f t="shared" si="35"/>
        <v>0</v>
      </c>
      <c r="CW81" s="8">
        <f t="shared" si="36"/>
        <v>0</v>
      </c>
      <c r="CX81" s="8">
        <f t="shared" si="37"/>
        <v>0</v>
      </c>
      <c r="CY81" s="8">
        <f t="shared" si="38"/>
        <v>0</v>
      </c>
      <c r="CZ81" s="8">
        <f t="shared" si="39"/>
        <v>0</v>
      </c>
      <c r="DA81" s="8">
        <f t="shared" si="40"/>
        <v>0</v>
      </c>
      <c r="DB81" s="8">
        <f t="shared" si="41"/>
        <v>0</v>
      </c>
      <c r="DC81" s="8">
        <f t="shared" si="42"/>
        <v>0</v>
      </c>
      <c r="DD81" s="8">
        <f t="shared" si="43"/>
        <v>0</v>
      </c>
      <c r="DE81" s="8">
        <f t="shared" si="44"/>
        <v>0</v>
      </c>
      <c r="DF81" s="8">
        <f t="shared" si="45"/>
        <v>0</v>
      </c>
      <c r="DG81" s="8">
        <f t="shared" si="46"/>
        <v>0</v>
      </c>
      <c r="DH81" s="8">
        <f t="shared" si="47"/>
        <v>0</v>
      </c>
      <c r="DI81" s="8">
        <f t="shared" si="48"/>
        <v>0</v>
      </c>
      <c r="DJ81" s="8">
        <f t="shared" si="49"/>
        <v>0</v>
      </c>
      <c r="DK81" s="8">
        <f t="shared" si="50"/>
        <v>0</v>
      </c>
      <c r="DL81" s="8">
        <f t="shared" si="51"/>
        <v>0</v>
      </c>
      <c r="DM81" s="8">
        <f t="shared" si="52"/>
        <v>0</v>
      </c>
      <c r="DN81" s="8">
        <f t="shared" si="53"/>
        <v>0</v>
      </c>
      <c r="DO81" s="177"/>
      <c r="DP81" s="141"/>
      <c r="DQ81" s="141"/>
      <c r="DR81" s="141"/>
      <c r="DS81" s="141"/>
      <c r="DT81" s="141"/>
      <c r="DU81" s="141"/>
      <c r="DV81" s="141"/>
      <c r="DW81" s="141" t="s">
        <v>417</v>
      </c>
      <c r="DX81" s="141" t="s">
        <v>417</v>
      </c>
      <c r="DY81" s="141"/>
      <c r="DZ81" s="141"/>
      <c r="EA81" s="141" t="s">
        <v>417</v>
      </c>
      <c r="EB81" s="141" t="s">
        <v>417</v>
      </c>
      <c r="EC81" s="141" t="s">
        <v>417</v>
      </c>
      <c r="ED81" s="141" t="s">
        <v>417</v>
      </c>
      <c r="EE81" s="141" t="s">
        <v>417</v>
      </c>
      <c r="EF81" s="141" t="s">
        <v>417</v>
      </c>
      <c r="EG81" s="141" t="s">
        <v>417</v>
      </c>
      <c r="EH81" s="141" t="s">
        <v>417</v>
      </c>
      <c r="EI81" s="141" t="s">
        <v>417</v>
      </c>
      <c r="EJ81" s="142" t="s">
        <v>417</v>
      </c>
      <c r="EK81" s="180"/>
    </row>
    <row r="82" spans="2:141" x14ac:dyDescent="0.25">
      <c r="B82" s="69" t="str">
        <f>IF(Profession="","",IF(HLOOKUP(Profession,Skills!$DO$3:$EK$126,ROW(D82)-2,FALSE)="","",HLOOKUP(Profession,Skills!$DO$3:$EK$126,ROW(D82)-2,FALSE)))</f>
        <v/>
      </c>
      <c r="C82" s="32"/>
      <c r="D82" s="35" t="s">
        <v>97</v>
      </c>
      <c r="E82" s="35" t="s">
        <v>274</v>
      </c>
      <c r="F82" s="164" t="s">
        <v>918</v>
      </c>
      <c r="G82" s="33">
        <f t="shared" ca="1" si="5"/>
        <v>21</v>
      </c>
      <c r="H82" s="33">
        <f ca="1">SUM(O82:(OFFSET(O82,0,Level)))</f>
        <v>1</v>
      </c>
      <c r="I82" s="33">
        <f t="shared" ca="1" si="134"/>
        <v>5</v>
      </c>
      <c r="J82" s="33">
        <f t="shared" ref="J82:J103" si="135">IF(Realm="",0,SUM(RS+RS+Re))</f>
        <v>16</v>
      </c>
      <c r="K82" s="33">
        <f t="shared" ca="1" si="131"/>
        <v>0</v>
      </c>
      <c r="L82" s="168"/>
      <c r="M82" s="33" t="str">
        <f t="shared" si="93"/>
        <v>RS/RS/Re</v>
      </c>
      <c r="N82" s="33" t="str">
        <f t="shared" si="94"/>
        <v>12/15</v>
      </c>
      <c r="O82" s="131"/>
      <c r="P82" s="168">
        <v>1</v>
      </c>
      <c r="Q82" s="168"/>
      <c r="R82" s="168"/>
      <c r="S82" s="168"/>
      <c r="T82" s="168"/>
      <c r="U82" s="164"/>
      <c r="V82" s="164"/>
      <c r="W82" s="164"/>
      <c r="X82" s="164"/>
      <c r="Y82" s="164"/>
      <c r="Z82" s="164"/>
      <c r="AA82" s="164"/>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73"/>
      <c r="BO82" s="27" t="str">
        <f t="shared" si="105"/>
        <v>12</v>
      </c>
      <c r="BP82" s="8" t="str">
        <f t="shared" si="106"/>
        <v>15</v>
      </c>
      <c r="BQ82" s="8">
        <f t="shared" si="110"/>
        <v>12</v>
      </c>
      <c r="BR82" s="8">
        <f t="shared" si="111"/>
        <v>0</v>
      </c>
      <c r="BS82" s="8">
        <f t="shared" si="112"/>
        <v>0</v>
      </c>
      <c r="BT82" s="8">
        <f t="shared" si="113"/>
        <v>0</v>
      </c>
      <c r="BU82" s="8">
        <f t="shared" si="114"/>
        <v>0</v>
      </c>
      <c r="BV82" s="8">
        <f t="shared" si="115"/>
        <v>0</v>
      </c>
      <c r="BW82" s="8">
        <f t="shared" si="116"/>
        <v>0</v>
      </c>
      <c r="BX82" s="8">
        <f t="shared" si="117"/>
        <v>0</v>
      </c>
      <c r="BY82" s="8">
        <f t="shared" si="118"/>
        <v>0</v>
      </c>
      <c r="BZ82" s="8">
        <f t="shared" si="119"/>
        <v>0</v>
      </c>
      <c r="CA82" s="8">
        <f t="shared" si="120"/>
        <v>0</v>
      </c>
      <c r="CB82" s="8">
        <f t="shared" si="121"/>
        <v>0</v>
      </c>
      <c r="CC82" s="8">
        <f t="shared" si="122"/>
        <v>0</v>
      </c>
      <c r="CD82" s="8">
        <f t="shared" si="123"/>
        <v>0</v>
      </c>
      <c r="CE82" s="8">
        <f t="shared" si="124"/>
        <v>0</v>
      </c>
      <c r="CF82" s="8">
        <f t="shared" si="125"/>
        <v>0</v>
      </c>
      <c r="CG82" s="8">
        <f t="shared" si="126"/>
        <v>0</v>
      </c>
      <c r="CH82" s="8">
        <f t="shared" si="127"/>
        <v>0</v>
      </c>
      <c r="CI82" s="8">
        <f t="shared" si="128"/>
        <v>0</v>
      </c>
      <c r="CJ82" s="8">
        <f t="shared" ref="CJ82:CP99" si="136">IF(AI82=0,0,IF(AI82=1,INT($BO82),$BO82+$BP82*(AI82-1)))</f>
        <v>0</v>
      </c>
      <c r="CK82" s="8">
        <f t="shared" si="136"/>
        <v>0</v>
      </c>
      <c r="CL82" s="8">
        <f t="shared" si="136"/>
        <v>0</v>
      </c>
      <c r="CM82" s="8">
        <f t="shared" si="136"/>
        <v>0</v>
      </c>
      <c r="CN82" s="8">
        <f t="shared" si="136"/>
        <v>0</v>
      </c>
      <c r="CO82" s="8">
        <f t="shared" si="136"/>
        <v>0</v>
      </c>
      <c r="CP82" s="8">
        <f t="shared" si="136"/>
        <v>0</v>
      </c>
      <c r="CQ82" s="8">
        <f t="shared" ref="CQ82:CQ126" si="137">IF(AP82=0,0,IF(AP82=1,INT($BO82),$BO82+$BP82*(AP82-1)))</f>
        <v>0</v>
      </c>
      <c r="CR82" s="8">
        <f t="shared" ref="CR82:CR126" si="138">IF(AQ82=0,0,IF(AQ82=1,INT($BO82),$BO82+$BP82*(AQ82-1)))</f>
        <v>0</v>
      </c>
      <c r="CS82" s="8">
        <f t="shared" ref="CS82:CS126" si="139">IF(AR82=0,0,IF(AR82=1,INT($BO82),$BO82+$BP82*(AR82-1)))</f>
        <v>0</v>
      </c>
      <c r="CT82" s="8">
        <f t="shared" ref="CT82:CT126" si="140">IF(AS82=0,0,IF(AS82=1,INT($BO82),$BO82+$BP82*(AS82-1)))</f>
        <v>0</v>
      </c>
      <c r="CU82" s="8">
        <f t="shared" ref="CU82:CU126" si="141">IF(AT82=0,0,IF(AT82=1,INT($BO82),$BO82+$BP82*(AT82-1)))</f>
        <v>0</v>
      </c>
      <c r="CV82" s="8">
        <f t="shared" ref="CV82:CV126" si="142">IF(AU82=0,0,IF(AU82=1,INT($BO82),$BO82+$BP82*(AU82-1)))</f>
        <v>0</v>
      </c>
      <c r="CW82" s="8">
        <f t="shared" ref="CW82:CW126" si="143">IF(AV82=0,0,IF(AV82=1,INT($BO82),$BO82+$BP82*(AV82-1)))</f>
        <v>0</v>
      </c>
      <c r="CX82" s="8">
        <f t="shared" ref="CX82:CX126" si="144">IF(AW82=0,0,IF(AW82=1,INT($BO82),$BO82+$BP82*(AW82-1)))</f>
        <v>0</v>
      </c>
      <c r="CY82" s="8">
        <f t="shared" ref="CY82:CY126" si="145">IF(AX82=0,0,IF(AX82=1,INT($BO82),$BO82+$BP82*(AX82-1)))</f>
        <v>0</v>
      </c>
      <c r="CZ82" s="8">
        <f t="shared" ref="CZ82:CZ126" si="146">IF(AY82=0,0,IF(AY82=1,INT($BO82),$BO82+$BP82*(AY82-1)))</f>
        <v>0</v>
      </c>
      <c r="DA82" s="8">
        <f t="shared" ref="DA82:DA126" si="147">IF(AZ82=0,0,IF(AZ82=1,INT($BO82),$BO82+$BP82*(AZ82-1)))</f>
        <v>0</v>
      </c>
      <c r="DB82" s="8">
        <f t="shared" ref="DB82:DB126" si="148">IF(BA82=0,0,IF(BA82=1,INT($BO82),$BO82+$BP82*(BA82-1)))</f>
        <v>0</v>
      </c>
      <c r="DC82" s="8">
        <f t="shared" ref="DC82:DC126" si="149">IF(BB82=0,0,IF(BB82=1,INT($BO82),$BO82+$BP82*(BB82-1)))</f>
        <v>0</v>
      </c>
      <c r="DD82" s="8">
        <f t="shared" ref="DD82:DD126" si="150">IF(BC82=0,0,IF(BC82=1,INT($BO82),$BO82+$BP82*(BC82-1)))</f>
        <v>0</v>
      </c>
      <c r="DE82" s="8">
        <f t="shared" ref="DE82:DE126" si="151">IF(BD82=0,0,IF(BD82=1,INT($BO82),$BO82+$BP82*(BD82-1)))</f>
        <v>0</v>
      </c>
      <c r="DF82" s="8">
        <f t="shared" ref="DF82:DF126" si="152">IF(BE82=0,0,IF(BE82=1,INT($BO82),$BO82+$BP82*(BE82-1)))</f>
        <v>0</v>
      </c>
      <c r="DG82" s="8">
        <f t="shared" ref="DG82:DG126" si="153">IF(BF82=0,0,IF(BF82=1,INT($BO82),$BO82+$BP82*(BF82-1)))</f>
        <v>0</v>
      </c>
      <c r="DH82" s="8">
        <f t="shared" ref="DH82:DH126" si="154">IF(BG82=0,0,IF(BG82=1,INT($BO82),$BO82+$BP82*(BG82-1)))</f>
        <v>0</v>
      </c>
      <c r="DI82" s="8">
        <f t="shared" ref="DI82:DI126" si="155">IF(BH82=0,0,IF(BH82=1,INT($BO82),$BO82+$BP82*(BH82-1)))</f>
        <v>0</v>
      </c>
      <c r="DJ82" s="8">
        <f t="shared" ref="DJ82:DJ126" si="156">IF(BI82=0,0,IF(BI82=1,INT($BO82),$BO82+$BP82*(BI82-1)))</f>
        <v>0</v>
      </c>
      <c r="DK82" s="8">
        <f t="shared" ref="DK82:DK126" si="157">IF(BJ82=0,0,IF(BJ82=1,INT($BO82),$BO82+$BP82*(BJ82-1)))</f>
        <v>0</v>
      </c>
      <c r="DL82" s="8">
        <f t="shared" ref="DL82:DL126" si="158">IF(BK82=0,0,IF(BK82=1,INT($BO82),$BO82+$BP82*(BK82-1)))</f>
        <v>0</v>
      </c>
      <c r="DM82" s="8">
        <f t="shared" ref="DM82:DM126" si="159">IF(BL82=0,0,IF(BL82=1,INT($BO82),$BO82+$BP82*(BL82-1)))</f>
        <v>0</v>
      </c>
      <c r="DN82" s="8">
        <f t="shared" ref="DN82:DN126" si="160">IF(BM82=0,0,IF(BM82=1,INT($BO82),$BO82+$BP82*(BM82-1)))</f>
        <v>0</v>
      </c>
      <c r="DO82" s="177"/>
      <c r="DP82" s="141"/>
      <c r="DQ82" s="141"/>
      <c r="DR82" s="141"/>
      <c r="DS82" s="141"/>
      <c r="DT82" s="141"/>
      <c r="DU82" s="141"/>
      <c r="DV82" s="141" t="s">
        <v>417</v>
      </c>
      <c r="DW82" s="141" t="s">
        <v>417</v>
      </c>
      <c r="DX82" s="141" t="s">
        <v>417</v>
      </c>
      <c r="DY82" s="141" t="s">
        <v>417</v>
      </c>
      <c r="DZ82" s="141" t="s">
        <v>417</v>
      </c>
      <c r="EA82" s="141" t="s">
        <v>417</v>
      </c>
      <c r="EB82" s="141" t="s">
        <v>417</v>
      </c>
      <c r="EC82" s="141" t="s">
        <v>417</v>
      </c>
      <c r="ED82" s="141" t="s">
        <v>417</v>
      </c>
      <c r="EE82" s="141" t="s">
        <v>417</v>
      </c>
      <c r="EF82" s="141" t="s">
        <v>417</v>
      </c>
      <c r="EG82" s="141" t="s">
        <v>417</v>
      </c>
      <c r="EH82" s="141" t="s">
        <v>417</v>
      </c>
      <c r="EI82" s="141" t="s">
        <v>417</v>
      </c>
      <c r="EJ82" s="142" t="s">
        <v>417</v>
      </c>
      <c r="EK82" s="180"/>
    </row>
    <row r="83" spans="2:141" x14ac:dyDescent="0.25">
      <c r="B83" s="69" t="str">
        <f>IF(Profession="","",IF(HLOOKUP(Profession,Skills!$DO$3:$EK$126,ROW(D83)-2,FALSE)="","",HLOOKUP(Profession,Skills!$DO$3:$EK$126,ROW(D83)-2,FALSE)))</f>
        <v/>
      </c>
      <c r="C83" s="32"/>
      <c r="D83" s="35" t="s">
        <v>97</v>
      </c>
      <c r="E83" s="35" t="s">
        <v>274</v>
      </c>
      <c r="F83" s="164"/>
      <c r="G83" s="33">
        <f t="shared" ca="1" si="5"/>
        <v>-9</v>
      </c>
      <c r="H83" s="33">
        <f ca="1">SUM(O83:(OFFSET(O83,0,Level)))</f>
        <v>0</v>
      </c>
      <c r="I83" s="33">
        <f t="shared" ca="1" si="134"/>
        <v>-25</v>
      </c>
      <c r="J83" s="33">
        <f t="shared" si="135"/>
        <v>16</v>
      </c>
      <c r="K83" s="33">
        <f t="shared" ca="1" si="131"/>
        <v>0</v>
      </c>
      <c r="L83" s="168"/>
      <c r="M83" s="33" t="str">
        <f t="shared" si="93"/>
        <v>RS/RS/Re</v>
      </c>
      <c r="N83" s="33" t="str">
        <f t="shared" si="94"/>
        <v>12/15</v>
      </c>
      <c r="O83" s="131"/>
      <c r="P83" s="168"/>
      <c r="Q83" s="168"/>
      <c r="R83" s="168"/>
      <c r="S83" s="168"/>
      <c r="T83" s="168"/>
      <c r="U83" s="164"/>
      <c r="V83" s="164"/>
      <c r="W83" s="164"/>
      <c r="X83" s="164"/>
      <c r="Y83" s="164"/>
      <c r="Z83" s="164"/>
      <c r="AA83" s="164"/>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73"/>
      <c r="BO83" s="27" t="str">
        <f t="shared" si="105"/>
        <v>12</v>
      </c>
      <c r="BP83" s="8" t="str">
        <f t="shared" si="106"/>
        <v>15</v>
      </c>
      <c r="BQ83" s="8">
        <f t="shared" si="110"/>
        <v>0</v>
      </c>
      <c r="BR83" s="8">
        <f t="shared" si="111"/>
        <v>0</v>
      </c>
      <c r="BS83" s="8">
        <f t="shared" si="112"/>
        <v>0</v>
      </c>
      <c r="BT83" s="8">
        <f t="shared" si="113"/>
        <v>0</v>
      </c>
      <c r="BU83" s="8">
        <f t="shared" si="114"/>
        <v>0</v>
      </c>
      <c r="BV83" s="8">
        <f t="shared" si="115"/>
        <v>0</v>
      </c>
      <c r="BW83" s="8">
        <f t="shared" si="116"/>
        <v>0</v>
      </c>
      <c r="BX83" s="8">
        <f t="shared" si="117"/>
        <v>0</v>
      </c>
      <c r="BY83" s="8">
        <f t="shared" si="118"/>
        <v>0</v>
      </c>
      <c r="BZ83" s="8">
        <f t="shared" si="119"/>
        <v>0</v>
      </c>
      <c r="CA83" s="8">
        <f t="shared" si="120"/>
        <v>0</v>
      </c>
      <c r="CB83" s="8">
        <f t="shared" si="121"/>
        <v>0</v>
      </c>
      <c r="CC83" s="8">
        <f t="shared" si="122"/>
        <v>0</v>
      </c>
      <c r="CD83" s="8">
        <f t="shared" si="123"/>
        <v>0</v>
      </c>
      <c r="CE83" s="8">
        <f t="shared" si="124"/>
        <v>0</v>
      </c>
      <c r="CF83" s="8">
        <f t="shared" si="125"/>
        <v>0</v>
      </c>
      <c r="CG83" s="8">
        <f t="shared" si="126"/>
        <v>0</v>
      </c>
      <c r="CH83" s="8">
        <f t="shared" si="127"/>
        <v>0</v>
      </c>
      <c r="CI83" s="8">
        <f t="shared" si="128"/>
        <v>0</v>
      </c>
      <c r="CJ83" s="8">
        <f t="shared" si="136"/>
        <v>0</v>
      </c>
      <c r="CK83" s="8">
        <f t="shared" si="136"/>
        <v>0</v>
      </c>
      <c r="CL83" s="8">
        <f t="shared" si="136"/>
        <v>0</v>
      </c>
      <c r="CM83" s="8">
        <f t="shared" si="136"/>
        <v>0</v>
      </c>
      <c r="CN83" s="8">
        <f t="shared" si="136"/>
        <v>0</v>
      </c>
      <c r="CO83" s="8">
        <f t="shared" si="136"/>
        <v>0</v>
      </c>
      <c r="CP83" s="8">
        <f t="shared" si="136"/>
        <v>0</v>
      </c>
      <c r="CQ83" s="8">
        <f t="shared" si="137"/>
        <v>0</v>
      </c>
      <c r="CR83" s="8">
        <f t="shared" si="138"/>
        <v>0</v>
      </c>
      <c r="CS83" s="8">
        <f t="shared" si="139"/>
        <v>0</v>
      </c>
      <c r="CT83" s="8">
        <f t="shared" si="140"/>
        <v>0</v>
      </c>
      <c r="CU83" s="8">
        <f t="shared" si="141"/>
        <v>0</v>
      </c>
      <c r="CV83" s="8">
        <f t="shared" si="142"/>
        <v>0</v>
      </c>
      <c r="CW83" s="8">
        <f t="shared" si="143"/>
        <v>0</v>
      </c>
      <c r="CX83" s="8">
        <f t="shared" si="144"/>
        <v>0</v>
      </c>
      <c r="CY83" s="8">
        <f t="shared" si="145"/>
        <v>0</v>
      </c>
      <c r="CZ83" s="8">
        <f t="shared" si="146"/>
        <v>0</v>
      </c>
      <c r="DA83" s="8">
        <f t="shared" si="147"/>
        <v>0</v>
      </c>
      <c r="DB83" s="8">
        <f t="shared" si="148"/>
        <v>0</v>
      </c>
      <c r="DC83" s="8">
        <f t="shared" si="149"/>
        <v>0</v>
      </c>
      <c r="DD83" s="8">
        <f t="shared" si="150"/>
        <v>0</v>
      </c>
      <c r="DE83" s="8">
        <f t="shared" si="151"/>
        <v>0</v>
      </c>
      <c r="DF83" s="8">
        <f t="shared" si="152"/>
        <v>0</v>
      </c>
      <c r="DG83" s="8">
        <f t="shared" si="153"/>
        <v>0</v>
      </c>
      <c r="DH83" s="8">
        <f t="shared" si="154"/>
        <v>0</v>
      </c>
      <c r="DI83" s="8">
        <f t="shared" si="155"/>
        <v>0</v>
      </c>
      <c r="DJ83" s="8">
        <f t="shared" si="156"/>
        <v>0</v>
      </c>
      <c r="DK83" s="8">
        <f t="shared" si="157"/>
        <v>0</v>
      </c>
      <c r="DL83" s="8">
        <f t="shared" si="158"/>
        <v>0</v>
      </c>
      <c r="DM83" s="8">
        <f t="shared" si="159"/>
        <v>0</v>
      </c>
      <c r="DN83" s="8">
        <f t="shared" si="160"/>
        <v>0</v>
      </c>
      <c r="DO83" s="177"/>
      <c r="DP83" s="141"/>
      <c r="DQ83" s="141"/>
      <c r="DR83" s="141"/>
      <c r="DS83" s="141"/>
      <c r="DT83" s="141"/>
      <c r="DU83" s="141"/>
      <c r="DV83" s="141" t="s">
        <v>417</v>
      </c>
      <c r="DW83" s="141" t="s">
        <v>417</v>
      </c>
      <c r="DX83" s="141" t="s">
        <v>417</v>
      </c>
      <c r="DY83" s="141" t="s">
        <v>417</v>
      </c>
      <c r="DZ83" s="141" t="s">
        <v>417</v>
      </c>
      <c r="EA83" s="141" t="s">
        <v>417</v>
      </c>
      <c r="EB83" s="141" t="s">
        <v>417</v>
      </c>
      <c r="EC83" s="141" t="s">
        <v>417</v>
      </c>
      <c r="ED83" s="141" t="s">
        <v>417</v>
      </c>
      <c r="EE83" s="141" t="s">
        <v>417</v>
      </c>
      <c r="EF83" s="141" t="s">
        <v>417</v>
      </c>
      <c r="EG83" s="141" t="s">
        <v>417</v>
      </c>
      <c r="EH83" s="141" t="s">
        <v>417</v>
      </c>
      <c r="EI83" s="141" t="s">
        <v>417</v>
      </c>
      <c r="EJ83" s="142" t="s">
        <v>417</v>
      </c>
      <c r="EK83" s="180"/>
    </row>
    <row r="84" spans="2:141" x14ac:dyDescent="0.25">
      <c r="B84" s="69" t="str">
        <f>IF(Profession="","",IF(HLOOKUP(Profession,Skills!$DO$3:$EK$126,ROW(D84)-2,FALSE)="","",HLOOKUP(Profession,Skills!$DO$3:$EK$126,ROW(D84)-2,FALSE)))</f>
        <v/>
      </c>
      <c r="C84" s="32"/>
      <c r="D84" s="35" t="s">
        <v>97</v>
      </c>
      <c r="E84" s="35" t="s">
        <v>274</v>
      </c>
      <c r="F84" s="164"/>
      <c r="G84" s="33">
        <f t="shared" ca="1" si="5"/>
        <v>-9</v>
      </c>
      <c r="H84" s="33">
        <f ca="1">SUM(O84:(OFFSET(O84,0,Level)))</f>
        <v>0</v>
      </c>
      <c r="I84" s="33">
        <f t="shared" ca="1" si="134"/>
        <v>-25</v>
      </c>
      <c r="J84" s="33">
        <f t="shared" si="135"/>
        <v>16</v>
      </c>
      <c r="K84" s="33">
        <f t="shared" ca="1" si="131"/>
        <v>0</v>
      </c>
      <c r="L84" s="168"/>
      <c r="M84" s="33" t="str">
        <f t="shared" si="93"/>
        <v>RS/RS/Re</v>
      </c>
      <c r="N84" s="33" t="str">
        <f t="shared" si="94"/>
        <v>12/15</v>
      </c>
      <c r="O84" s="131"/>
      <c r="P84" s="168"/>
      <c r="Q84" s="168"/>
      <c r="R84" s="168"/>
      <c r="S84" s="168"/>
      <c r="T84" s="168"/>
      <c r="U84" s="164"/>
      <c r="V84" s="164"/>
      <c r="W84" s="164"/>
      <c r="X84" s="164"/>
      <c r="Y84" s="164"/>
      <c r="Z84" s="164"/>
      <c r="AA84" s="164"/>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c r="AY84" s="168"/>
      <c r="AZ84" s="168"/>
      <c r="BA84" s="168"/>
      <c r="BB84" s="168"/>
      <c r="BC84" s="168"/>
      <c r="BD84" s="168"/>
      <c r="BE84" s="168"/>
      <c r="BF84" s="168"/>
      <c r="BG84" s="168"/>
      <c r="BH84" s="168"/>
      <c r="BI84" s="168"/>
      <c r="BJ84" s="168"/>
      <c r="BK84" s="168"/>
      <c r="BL84" s="168"/>
      <c r="BM84" s="173"/>
      <c r="BO84" s="27" t="str">
        <f t="shared" si="105"/>
        <v>12</v>
      </c>
      <c r="BP84" s="8" t="str">
        <f t="shared" si="106"/>
        <v>15</v>
      </c>
      <c r="BQ84" s="8">
        <f t="shared" si="110"/>
        <v>0</v>
      </c>
      <c r="BR84" s="8">
        <f t="shared" si="111"/>
        <v>0</v>
      </c>
      <c r="BS84" s="8">
        <f t="shared" si="112"/>
        <v>0</v>
      </c>
      <c r="BT84" s="8">
        <f t="shared" si="113"/>
        <v>0</v>
      </c>
      <c r="BU84" s="8">
        <f t="shared" si="114"/>
        <v>0</v>
      </c>
      <c r="BV84" s="8">
        <f t="shared" si="115"/>
        <v>0</v>
      </c>
      <c r="BW84" s="8">
        <f t="shared" si="116"/>
        <v>0</v>
      </c>
      <c r="BX84" s="8">
        <f t="shared" si="117"/>
        <v>0</v>
      </c>
      <c r="BY84" s="8">
        <f t="shared" si="118"/>
        <v>0</v>
      </c>
      <c r="BZ84" s="8">
        <f t="shared" si="119"/>
        <v>0</v>
      </c>
      <c r="CA84" s="8">
        <f t="shared" si="120"/>
        <v>0</v>
      </c>
      <c r="CB84" s="8">
        <f t="shared" si="121"/>
        <v>0</v>
      </c>
      <c r="CC84" s="8">
        <f t="shared" si="122"/>
        <v>0</v>
      </c>
      <c r="CD84" s="8">
        <f t="shared" si="123"/>
        <v>0</v>
      </c>
      <c r="CE84" s="8">
        <f t="shared" si="124"/>
        <v>0</v>
      </c>
      <c r="CF84" s="8">
        <f t="shared" si="125"/>
        <v>0</v>
      </c>
      <c r="CG84" s="8">
        <f t="shared" si="126"/>
        <v>0</v>
      </c>
      <c r="CH84" s="8">
        <f t="shared" si="127"/>
        <v>0</v>
      </c>
      <c r="CI84" s="8">
        <f t="shared" si="128"/>
        <v>0</v>
      </c>
      <c r="CJ84" s="8">
        <f t="shared" si="136"/>
        <v>0</v>
      </c>
      <c r="CK84" s="8">
        <f t="shared" si="136"/>
        <v>0</v>
      </c>
      <c r="CL84" s="8">
        <f t="shared" si="136"/>
        <v>0</v>
      </c>
      <c r="CM84" s="8">
        <f t="shared" si="136"/>
        <v>0</v>
      </c>
      <c r="CN84" s="8">
        <f t="shared" si="136"/>
        <v>0</v>
      </c>
      <c r="CO84" s="8">
        <f t="shared" si="136"/>
        <v>0</v>
      </c>
      <c r="CP84" s="8">
        <f t="shared" si="136"/>
        <v>0</v>
      </c>
      <c r="CQ84" s="8">
        <f t="shared" si="137"/>
        <v>0</v>
      </c>
      <c r="CR84" s="8">
        <f t="shared" si="138"/>
        <v>0</v>
      </c>
      <c r="CS84" s="8">
        <f t="shared" si="139"/>
        <v>0</v>
      </c>
      <c r="CT84" s="8">
        <f t="shared" si="140"/>
        <v>0</v>
      </c>
      <c r="CU84" s="8">
        <f t="shared" si="141"/>
        <v>0</v>
      </c>
      <c r="CV84" s="8">
        <f t="shared" si="142"/>
        <v>0</v>
      </c>
      <c r="CW84" s="8">
        <f t="shared" si="143"/>
        <v>0</v>
      </c>
      <c r="CX84" s="8">
        <f t="shared" si="144"/>
        <v>0</v>
      </c>
      <c r="CY84" s="8">
        <f t="shared" si="145"/>
        <v>0</v>
      </c>
      <c r="CZ84" s="8">
        <f t="shared" si="146"/>
        <v>0</v>
      </c>
      <c r="DA84" s="8">
        <f t="shared" si="147"/>
        <v>0</v>
      </c>
      <c r="DB84" s="8">
        <f t="shared" si="148"/>
        <v>0</v>
      </c>
      <c r="DC84" s="8">
        <f t="shared" si="149"/>
        <v>0</v>
      </c>
      <c r="DD84" s="8">
        <f t="shared" si="150"/>
        <v>0</v>
      </c>
      <c r="DE84" s="8">
        <f t="shared" si="151"/>
        <v>0</v>
      </c>
      <c r="DF84" s="8">
        <f t="shared" si="152"/>
        <v>0</v>
      </c>
      <c r="DG84" s="8">
        <f t="shared" si="153"/>
        <v>0</v>
      </c>
      <c r="DH84" s="8">
        <f t="shared" si="154"/>
        <v>0</v>
      </c>
      <c r="DI84" s="8">
        <f t="shared" si="155"/>
        <v>0</v>
      </c>
      <c r="DJ84" s="8">
        <f t="shared" si="156"/>
        <v>0</v>
      </c>
      <c r="DK84" s="8">
        <f t="shared" si="157"/>
        <v>0</v>
      </c>
      <c r="DL84" s="8">
        <f t="shared" si="158"/>
        <v>0</v>
      </c>
      <c r="DM84" s="8">
        <f t="shared" si="159"/>
        <v>0</v>
      </c>
      <c r="DN84" s="8">
        <f t="shared" si="160"/>
        <v>0</v>
      </c>
      <c r="DO84" s="177"/>
      <c r="DP84" s="141"/>
      <c r="DQ84" s="141"/>
      <c r="DR84" s="141"/>
      <c r="DS84" s="141"/>
      <c r="DT84" s="141"/>
      <c r="DU84" s="141"/>
      <c r="DV84" s="141" t="s">
        <v>417</v>
      </c>
      <c r="DW84" s="141" t="s">
        <v>417</v>
      </c>
      <c r="DX84" s="141" t="s">
        <v>417</v>
      </c>
      <c r="DY84" s="141" t="s">
        <v>417</v>
      </c>
      <c r="DZ84" s="141" t="s">
        <v>417</v>
      </c>
      <c r="EA84" s="141" t="s">
        <v>417</v>
      </c>
      <c r="EB84" s="141" t="s">
        <v>417</v>
      </c>
      <c r="EC84" s="141" t="s">
        <v>417</v>
      </c>
      <c r="ED84" s="141" t="s">
        <v>417</v>
      </c>
      <c r="EE84" s="141" t="s">
        <v>417</v>
      </c>
      <c r="EF84" s="141" t="s">
        <v>417</v>
      </c>
      <c r="EG84" s="141" t="s">
        <v>417</v>
      </c>
      <c r="EH84" s="141" t="s">
        <v>417</v>
      </c>
      <c r="EI84" s="141" t="s">
        <v>417</v>
      </c>
      <c r="EJ84" s="142" t="s">
        <v>417</v>
      </c>
      <c r="EK84" s="180"/>
    </row>
    <row r="85" spans="2:141" x14ac:dyDescent="0.25">
      <c r="B85" s="69" t="str">
        <f>IF(Profession="","",IF(HLOOKUP(Profession,Skills!$DO$3:$EK$126,ROW(D85)-2,FALSE)="","",HLOOKUP(Profession,Skills!$DO$3:$EK$126,ROW(D85)-2,FALSE)))</f>
        <v/>
      </c>
      <c r="C85" s="32"/>
      <c r="D85" s="35" t="s">
        <v>97</v>
      </c>
      <c r="E85" s="35" t="s">
        <v>274</v>
      </c>
      <c r="F85" s="164"/>
      <c r="G85" s="33">
        <f t="shared" ca="1" si="5"/>
        <v>-9</v>
      </c>
      <c r="H85" s="33">
        <f ca="1">SUM(O85:(OFFSET(O85,0,Level)))</f>
        <v>0</v>
      </c>
      <c r="I85" s="33">
        <f t="shared" ca="1" si="134"/>
        <v>-25</v>
      </c>
      <c r="J85" s="33">
        <f t="shared" si="135"/>
        <v>16</v>
      </c>
      <c r="K85" s="33">
        <f t="shared" ca="1" si="131"/>
        <v>0</v>
      </c>
      <c r="L85" s="168"/>
      <c r="M85" s="33" t="str">
        <f t="shared" si="93"/>
        <v>RS/RS/Re</v>
      </c>
      <c r="N85" s="33" t="str">
        <f t="shared" si="94"/>
        <v>12/15</v>
      </c>
      <c r="O85" s="131"/>
      <c r="P85" s="168"/>
      <c r="Q85" s="168"/>
      <c r="R85" s="168"/>
      <c r="S85" s="168"/>
      <c r="T85" s="168"/>
      <c r="U85" s="164"/>
      <c r="V85" s="164"/>
      <c r="W85" s="164"/>
      <c r="X85" s="164"/>
      <c r="Y85" s="164"/>
      <c r="Z85" s="164"/>
      <c r="AA85" s="164"/>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c r="AY85" s="168"/>
      <c r="AZ85" s="168"/>
      <c r="BA85" s="168"/>
      <c r="BB85" s="168"/>
      <c r="BC85" s="168"/>
      <c r="BD85" s="168"/>
      <c r="BE85" s="168"/>
      <c r="BF85" s="168"/>
      <c r="BG85" s="168"/>
      <c r="BH85" s="168"/>
      <c r="BI85" s="168"/>
      <c r="BJ85" s="168"/>
      <c r="BK85" s="168"/>
      <c r="BL85" s="168"/>
      <c r="BM85" s="173"/>
      <c r="BO85" s="27" t="str">
        <f t="shared" si="105"/>
        <v>12</v>
      </c>
      <c r="BP85" s="8" t="str">
        <f t="shared" si="106"/>
        <v>15</v>
      </c>
      <c r="BQ85" s="8">
        <f t="shared" si="110"/>
        <v>0</v>
      </c>
      <c r="BR85" s="8">
        <f t="shared" si="111"/>
        <v>0</v>
      </c>
      <c r="BS85" s="8">
        <f t="shared" si="112"/>
        <v>0</v>
      </c>
      <c r="BT85" s="8">
        <f t="shared" si="113"/>
        <v>0</v>
      </c>
      <c r="BU85" s="8">
        <f t="shared" si="114"/>
        <v>0</v>
      </c>
      <c r="BV85" s="8">
        <f t="shared" si="115"/>
        <v>0</v>
      </c>
      <c r="BW85" s="8">
        <f t="shared" si="116"/>
        <v>0</v>
      </c>
      <c r="BX85" s="8">
        <f t="shared" si="117"/>
        <v>0</v>
      </c>
      <c r="BY85" s="8">
        <f t="shared" si="118"/>
        <v>0</v>
      </c>
      <c r="BZ85" s="8">
        <f t="shared" si="119"/>
        <v>0</v>
      </c>
      <c r="CA85" s="8">
        <f t="shared" si="120"/>
        <v>0</v>
      </c>
      <c r="CB85" s="8">
        <f t="shared" si="121"/>
        <v>0</v>
      </c>
      <c r="CC85" s="8">
        <f t="shared" si="122"/>
        <v>0</v>
      </c>
      <c r="CD85" s="8">
        <f t="shared" si="123"/>
        <v>0</v>
      </c>
      <c r="CE85" s="8">
        <f t="shared" si="124"/>
        <v>0</v>
      </c>
      <c r="CF85" s="8">
        <f t="shared" si="125"/>
        <v>0</v>
      </c>
      <c r="CG85" s="8">
        <f t="shared" si="126"/>
        <v>0</v>
      </c>
      <c r="CH85" s="8">
        <f t="shared" si="127"/>
        <v>0</v>
      </c>
      <c r="CI85" s="8">
        <f t="shared" si="128"/>
        <v>0</v>
      </c>
      <c r="CJ85" s="8">
        <f t="shared" si="136"/>
        <v>0</v>
      </c>
      <c r="CK85" s="8">
        <f t="shared" si="136"/>
        <v>0</v>
      </c>
      <c r="CL85" s="8">
        <f t="shared" si="136"/>
        <v>0</v>
      </c>
      <c r="CM85" s="8">
        <f t="shared" si="136"/>
        <v>0</v>
      </c>
      <c r="CN85" s="8">
        <f t="shared" si="136"/>
        <v>0</v>
      </c>
      <c r="CO85" s="8">
        <f t="shared" si="136"/>
        <v>0</v>
      </c>
      <c r="CP85" s="8">
        <f t="shared" si="136"/>
        <v>0</v>
      </c>
      <c r="CQ85" s="8">
        <f t="shared" si="137"/>
        <v>0</v>
      </c>
      <c r="CR85" s="8">
        <f t="shared" si="138"/>
        <v>0</v>
      </c>
      <c r="CS85" s="8">
        <f t="shared" si="139"/>
        <v>0</v>
      </c>
      <c r="CT85" s="8">
        <f t="shared" si="140"/>
        <v>0</v>
      </c>
      <c r="CU85" s="8">
        <f t="shared" si="141"/>
        <v>0</v>
      </c>
      <c r="CV85" s="8">
        <f t="shared" si="142"/>
        <v>0</v>
      </c>
      <c r="CW85" s="8">
        <f t="shared" si="143"/>
        <v>0</v>
      </c>
      <c r="CX85" s="8">
        <f t="shared" si="144"/>
        <v>0</v>
      </c>
      <c r="CY85" s="8">
        <f t="shared" si="145"/>
        <v>0</v>
      </c>
      <c r="CZ85" s="8">
        <f t="shared" si="146"/>
        <v>0</v>
      </c>
      <c r="DA85" s="8">
        <f t="shared" si="147"/>
        <v>0</v>
      </c>
      <c r="DB85" s="8">
        <f t="shared" si="148"/>
        <v>0</v>
      </c>
      <c r="DC85" s="8">
        <f t="shared" si="149"/>
        <v>0</v>
      </c>
      <c r="DD85" s="8">
        <f t="shared" si="150"/>
        <v>0</v>
      </c>
      <c r="DE85" s="8">
        <f t="shared" si="151"/>
        <v>0</v>
      </c>
      <c r="DF85" s="8">
        <f t="shared" si="152"/>
        <v>0</v>
      </c>
      <c r="DG85" s="8">
        <f t="shared" si="153"/>
        <v>0</v>
      </c>
      <c r="DH85" s="8">
        <f t="shared" si="154"/>
        <v>0</v>
      </c>
      <c r="DI85" s="8">
        <f t="shared" si="155"/>
        <v>0</v>
      </c>
      <c r="DJ85" s="8">
        <f t="shared" si="156"/>
        <v>0</v>
      </c>
      <c r="DK85" s="8">
        <f t="shared" si="157"/>
        <v>0</v>
      </c>
      <c r="DL85" s="8">
        <f t="shared" si="158"/>
        <v>0</v>
      </c>
      <c r="DM85" s="8">
        <f t="shared" si="159"/>
        <v>0</v>
      </c>
      <c r="DN85" s="8">
        <f t="shared" si="160"/>
        <v>0</v>
      </c>
      <c r="DO85" s="177"/>
      <c r="DP85" s="141"/>
      <c r="DQ85" s="141"/>
      <c r="DR85" s="141"/>
      <c r="DS85" s="141"/>
      <c r="DT85" s="141"/>
      <c r="DU85" s="141"/>
      <c r="DV85" s="141" t="s">
        <v>417</v>
      </c>
      <c r="DW85" s="141" t="s">
        <v>417</v>
      </c>
      <c r="DX85" s="141" t="s">
        <v>417</v>
      </c>
      <c r="DY85" s="141" t="s">
        <v>417</v>
      </c>
      <c r="DZ85" s="141" t="s">
        <v>417</v>
      </c>
      <c r="EA85" s="141" t="s">
        <v>417</v>
      </c>
      <c r="EB85" s="141" t="s">
        <v>417</v>
      </c>
      <c r="EC85" s="141" t="s">
        <v>417</v>
      </c>
      <c r="ED85" s="141" t="s">
        <v>417</v>
      </c>
      <c r="EE85" s="141" t="s">
        <v>417</v>
      </c>
      <c r="EF85" s="141" t="s">
        <v>417</v>
      </c>
      <c r="EG85" s="141" t="s">
        <v>417</v>
      </c>
      <c r="EH85" s="141" t="s">
        <v>417</v>
      </c>
      <c r="EI85" s="141" t="s">
        <v>417</v>
      </c>
      <c r="EJ85" s="142" t="s">
        <v>417</v>
      </c>
      <c r="EK85" s="180"/>
    </row>
    <row r="86" spans="2:141" x14ac:dyDescent="0.25">
      <c r="B86" s="69" t="str">
        <f>IF(Profession="","",IF(HLOOKUP(Profession,Skills!$DO$3:$EK$126,ROW(D86)-2,FALSE)="","",HLOOKUP(Profession,Skills!$DO$3:$EK$126,ROW(D86)-2,FALSE)))</f>
        <v/>
      </c>
      <c r="C86" s="32"/>
      <c r="D86" s="35" t="s">
        <v>97</v>
      </c>
      <c r="E86" s="35" t="s">
        <v>274</v>
      </c>
      <c r="F86" s="164"/>
      <c r="G86" s="33">
        <f t="shared" ca="1" si="5"/>
        <v>-9</v>
      </c>
      <c r="H86" s="33">
        <f ca="1">SUM(O86:(OFFSET(O86,0,Level)))</f>
        <v>0</v>
      </c>
      <c r="I86" s="33">
        <f t="shared" ca="1" si="134"/>
        <v>-25</v>
      </c>
      <c r="J86" s="33">
        <f t="shared" si="135"/>
        <v>16</v>
      </c>
      <c r="K86" s="33">
        <f t="shared" ca="1" si="131"/>
        <v>0</v>
      </c>
      <c r="L86" s="168"/>
      <c r="M86" s="33" t="str">
        <f t="shared" si="93"/>
        <v>RS/RS/Re</v>
      </c>
      <c r="N86" s="33" t="str">
        <f t="shared" si="94"/>
        <v>12/15</v>
      </c>
      <c r="O86" s="131"/>
      <c r="P86" s="168"/>
      <c r="Q86" s="168"/>
      <c r="R86" s="168"/>
      <c r="S86" s="168"/>
      <c r="T86" s="168"/>
      <c r="U86" s="164"/>
      <c r="V86" s="164"/>
      <c r="W86" s="164"/>
      <c r="X86" s="164"/>
      <c r="Y86" s="164"/>
      <c r="Z86" s="164"/>
      <c r="AA86" s="164"/>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c r="BA86" s="168"/>
      <c r="BB86" s="168"/>
      <c r="BC86" s="168"/>
      <c r="BD86" s="168"/>
      <c r="BE86" s="168"/>
      <c r="BF86" s="168"/>
      <c r="BG86" s="168"/>
      <c r="BH86" s="168"/>
      <c r="BI86" s="168"/>
      <c r="BJ86" s="168"/>
      <c r="BK86" s="168"/>
      <c r="BL86" s="168"/>
      <c r="BM86" s="173"/>
      <c r="BO86" s="27" t="str">
        <f t="shared" si="105"/>
        <v>12</v>
      </c>
      <c r="BP86" s="8" t="str">
        <f t="shared" si="106"/>
        <v>15</v>
      </c>
      <c r="BQ86" s="8">
        <f t="shared" si="110"/>
        <v>0</v>
      </c>
      <c r="BR86" s="8">
        <f t="shared" si="111"/>
        <v>0</v>
      </c>
      <c r="BS86" s="8">
        <f t="shared" si="112"/>
        <v>0</v>
      </c>
      <c r="BT86" s="8">
        <f t="shared" si="113"/>
        <v>0</v>
      </c>
      <c r="BU86" s="8">
        <f t="shared" si="114"/>
        <v>0</v>
      </c>
      <c r="BV86" s="8">
        <f t="shared" si="115"/>
        <v>0</v>
      </c>
      <c r="BW86" s="8">
        <f t="shared" si="116"/>
        <v>0</v>
      </c>
      <c r="BX86" s="8">
        <f t="shared" si="117"/>
        <v>0</v>
      </c>
      <c r="BY86" s="8">
        <f t="shared" si="118"/>
        <v>0</v>
      </c>
      <c r="BZ86" s="8">
        <f t="shared" si="119"/>
        <v>0</v>
      </c>
      <c r="CA86" s="8">
        <f t="shared" si="120"/>
        <v>0</v>
      </c>
      <c r="CB86" s="8">
        <f t="shared" si="121"/>
        <v>0</v>
      </c>
      <c r="CC86" s="8">
        <f t="shared" si="122"/>
        <v>0</v>
      </c>
      <c r="CD86" s="8">
        <f t="shared" si="123"/>
        <v>0</v>
      </c>
      <c r="CE86" s="8">
        <f t="shared" si="124"/>
        <v>0</v>
      </c>
      <c r="CF86" s="8">
        <f t="shared" si="125"/>
        <v>0</v>
      </c>
      <c r="CG86" s="8">
        <f t="shared" si="126"/>
        <v>0</v>
      </c>
      <c r="CH86" s="8">
        <f t="shared" si="127"/>
        <v>0</v>
      </c>
      <c r="CI86" s="8">
        <f t="shared" si="128"/>
        <v>0</v>
      </c>
      <c r="CJ86" s="8">
        <f t="shared" si="136"/>
        <v>0</v>
      </c>
      <c r="CK86" s="8">
        <f t="shared" si="136"/>
        <v>0</v>
      </c>
      <c r="CL86" s="8">
        <f t="shared" si="136"/>
        <v>0</v>
      </c>
      <c r="CM86" s="8">
        <f t="shared" si="136"/>
        <v>0</v>
      </c>
      <c r="CN86" s="8">
        <f t="shared" si="136"/>
        <v>0</v>
      </c>
      <c r="CO86" s="8">
        <f t="shared" si="136"/>
        <v>0</v>
      </c>
      <c r="CP86" s="8">
        <f t="shared" si="136"/>
        <v>0</v>
      </c>
      <c r="CQ86" s="8">
        <f t="shared" si="137"/>
        <v>0</v>
      </c>
      <c r="CR86" s="8">
        <f t="shared" si="138"/>
        <v>0</v>
      </c>
      <c r="CS86" s="8">
        <f t="shared" si="139"/>
        <v>0</v>
      </c>
      <c r="CT86" s="8">
        <f t="shared" si="140"/>
        <v>0</v>
      </c>
      <c r="CU86" s="8">
        <f t="shared" si="141"/>
        <v>0</v>
      </c>
      <c r="CV86" s="8">
        <f t="shared" si="142"/>
        <v>0</v>
      </c>
      <c r="CW86" s="8">
        <f t="shared" si="143"/>
        <v>0</v>
      </c>
      <c r="CX86" s="8">
        <f t="shared" si="144"/>
        <v>0</v>
      </c>
      <c r="CY86" s="8">
        <f t="shared" si="145"/>
        <v>0</v>
      </c>
      <c r="CZ86" s="8">
        <f t="shared" si="146"/>
        <v>0</v>
      </c>
      <c r="DA86" s="8">
        <f t="shared" si="147"/>
        <v>0</v>
      </c>
      <c r="DB86" s="8">
        <f t="shared" si="148"/>
        <v>0</v>
      </c>
      <c r="DC86" s="8">
        <f t="shared" si="149"/>
        <v>0</v>
      </c>
      <c r="DD86" s="8">
        <f t="shared" si="150"/>
        <v>0</v>
      </c>
      <c r="DE86" s="8">
        <f t="shared" si="151"/>
        <v>0</v>
      </c>
      <c r="DF86" s="8">
        <f t="shared" si="152"/>
        <v>0</v>
      </c>
      <c r="DG86" s="8">
        <f t="shared" si="153"/>
        <v>0</v>
      </c>
      <c r="DH86" s="8">
        <f t="shared" si="154"/>
        <v>0</v>
      </c>
      <c r="DI86" s="8">
        <f t="shared" si="155"/>
        <v>0</v>
      </c>
      <c r="DJ86" s="8">
        <f t="shared" si="156"/>
        <v>0</v>
      </c>
      <c r="DK86" s="8">
        <f t="shared" si="157"/>
        <v>0</v>
      </c>
      <c r="DL86" s="8">
        <f t="shared" si="158"/>
        <v>0</v>
      </c>
      <c r="DM86" s="8">
        <f t="shared" si="159"/>
        <v>0</v>
      </c>
      <c r="DN86" s="8">
        <f t="shared" si="160"/>
        <v>0</v>
      </c>
      <c r="DO86" s="177"/>
      <c r="DP86" s="141"/>
      <c r="DQ86" s="141"/>
      <c r="DR86" s="141"/>
      <c r="DS86" s="141"/>
      <c r="DT86" s="141"/>
      <c r="DU86" s="141"/>
      <c r="DV86" s="141" t="s">
        <v>417</v>
      </c>
      <c r="DW86" s="141" t="s">
        <v>417</v>
      </c>
      <c r="DX86" s="141" t="s">
        <v>417</v>
      </c>
      <c r="DY86" s="141" t="s">
        <v>417</v>
      </c>
      <c r="DZ86" s="141" t="s">
        <v>417</v>
      </c>
      <c r="EA86" s="141" t="s">
        <v>417</v>
      </c>
      <c r="EB86" s="141" t="s">
        <v>417</v>
      </c>
      <c r="EC86" s="141" t="s">
        <v>417</v>
      </c>
      <c r="ED86" s="141" t="s">
        <v>417</v>
      </c>
      <c r="EE86" s="141" t="s">
        <v>417</v>
      </c>
      <c r="EF86" s="141" t="s">
        <v>417</v>
      </c>
      <c r="EG86" s="141" t="s">
        <v>417</v>
      </c>
      <c r="EH86" s="141" t="s">
        <v>417</v>
      </c>
      <c r="EI86" s="141" t="s">
        <v>417</v>
      </c>
      <c r="EJ86" s="142" t="s">
        <v>417</v>
      </c>
      <c r="EK86" s="180"/>
    </row>
    <row r="87" spans="2:141" x14ac:dyDescent="0.25">
      <c r="B87" s="69" t="str">
        <f>IF(Profession="","",IF(HLOOKUP(Profession,Skills!$DO$3:$EK$126,ROW(D87)-2,FALSE)="","",HLOOKUP(Profession,Skills!$DO$3:$EK$126,ROW(D87)-2,FALSE)))</f>
        <v/>
      </c>
      <c r="C87" s="32"/>
      <c r="D87" s="35" t="s">
        <v>97</v>
      </c>
      <c r="E87" s="35" t="s">
        <v>274</v>
      </c>
      <c r="F87" s="164"/>
      <c r="G87" s="33">
        <f t="shared" ca="1" si="5"/>
        <v>-9</v>
      </c>
      <c r="H87" s="33">
        <f ca="1">SUM(O87:(OFFSET(O87,0,Level)))</f>
        <v>0</v>
      </c>
      <c r="I87" s="33">
        <f t="shared" ca="1" si="134"/>
        <v>-25</v>
      </c>
      <c r="J87" s="33">
        <f t="shared" si="135"/>
        <v>16</v>
      </c>
      <c r="K87" s="33">
        <f t="shared" ca="1" si="131"/>
        <v>0</v>
      </c>
      <c r="L87" s="168"/>
      <c r="M87" s="33" t="str">
        <f t="shared" si="93"/>
        <v>RS/RS/Re</v>
      </c>
      <c r="N87" s="33" t="str">
        <f t="shared" si="94"/>
        <v>12/15</v>
      </c>
      <c r="O87" s="131"/>
      <c r="P87" s="168"/>
      <c r="Q87" s="168"/>
      <c r="R87" s="168"/>
      <c r="S87" s="168"/>
      <c r="T87" s="168"/>
      <c r="U87" s="164"/>
      <c r="V87" s="164"/>
      <c r="W87" s="164"/>
      <c r="X87" s="164"/>
      <c r="Y87" s="164"/>
      <c r="Z87" s="164"/>
      <c r="AA87" s="164"/>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73"/>
      <c r="BO87" s="27" t="str">
        <f t="shared" si="105"/>
        <v>12</v>
      </c>
      <c r="BP87" s="8" t="str">
        <f t="shared" si="106"/>
        <v>15</v>
      </c>
      <c r="BQ87" s="8">
        <f t="shared" si="110"/>
        <v>0</v>
      </c>
      <c r="BR87" s="8">
        <f t="shared" si="111"/>
        <v>0</v>
      </c>
      <c r="BS87" s="8">
        <f t="shared" si="112"/>
        <v>0</v>
      </c>
      <c r="BT87" s="8">
        <f t="shared" si="113"/>
        <v>0</v>
      </c>
      <c r="BU87" s="8">
        <f t="shared" si="114"/>
        <v>0</v>
      </c>
      <c r="BV87" s="8">
        <f t="shared" si="115"/>
        <v>0</v>
      </c>
      <c r="BW87" s="8">
        <f t="shared" si="116"/>
        <v>0</v>
      </c>
      <c r="BX87" s="8">
        <f t="shared" si="117"/>
        <v>0</v>
      </c>
      <c r="BY87" s="8">
        <f t="shared" si="118"/>
        <v>0</v>
      </c>
      <c r="BZ87" s="8">
        <f t="shared" si="119"/>
        <v>0</v>
      </c>
      <c r="CA87" s="8">
        <f t="shared" si="120"/>
        <v>0</v>
      </c>
      <c r="CB87" s="8">
        <f t="shared" si="121"/>
        <v>0</v>
      </c>
      <c r="CC87" s="8">
        <f t="shared" si="122"/>
        <v>0</v>
      </c>
      <c r="CD87" s="8">
        <f t="shared" si="123"/>
        <v>0</v>
      </c>
      <c r="CE87" s="8">
        <f t="shared" si="124"/>
        <v>0</v>
      </c>
      <c r="CF87" s="8">
        <f t="shared" si="125"/>
        <v>0</v>
      </c>
      <c r="CG87" s="8">
        <f t="shared" si="126"/>
        <v>0</v>
      </c>
      <c r="CH87" s="8">
        <f t="shared" si="127"/>
        <v>0</v>
      </c>
      <c r="CI87" s="8">
        <f t="shared" si="128"/>
        <v>0</v>
      </c>
      <c r="CJ87" s="8">
        <f t="shared" si="136"/>
        <v>0</v>
      </c>
      <c r="CK87" s="8">
        <f t="shared" si="136"/>
        <v>0</v>
      </c>
      <c r="CL87" s="8">
        <f t="shared" si="136"/>
        <v>0</v>
      </c>
      <c r="CM87" s="8">
        <f t="shared" si="136"/>
        <v>0</v>
      </c>
      <c r="CN87" s="8">
        <f t="shared" si="136"/>
        <v>0</v>
      </c>
      <c r="CO87" s="8">
        <f t="shared" si="136"/>
        <v>0</v>
      </c>
      <c r="CP87" s="8">
        <f t="shared" si="136"/>
        <v>0</v>
      </c>
      <c r="CQ87" s="8">
        <f t="shared" si="137"/>
        <v>0</v>
      </c>
      <c r="CR87" s="8">
        <f t="shared" si="138"/>
        <v>0</v>
      </c>
      <c r="CS87" s="8">
        <f t="shared" si="139"/>
        <v>0</v>
      </c>
      <c r="CT87" s="8">
        <f t="shared" si="140"/>
        <v>0</v>
      </c>
      <c r="CU87" s="8">
        <f t="shared" si="141"/>
        <v>0</v>
      </c>
      <c r="CV87" s="8">
        <f t="shared" si="142"/>
        <v>0</v>
      </c>
      <c r="CW87" s="8">
        <f t="shared" si="143"/>
        <v>0</v>
      </c>
      <c r="CX87" s="8">
        <f t="shared" si="144"/>
        <v>0</v>
      </c>
      <c r="CY87" s="8">
        <f t="shared" si="145"/>
        <v>0</v>
      </c>
      <c r="CZ87" s="8">
        <f t="shared" si="146"/>
        <v>0</v>
      </c>
      <c r="DA87" s="8">
        <f t="shared" si="147"/>
        <v>0</v>
      </c>
      <c r="DB87" s="8">
        <f t="shared" si="148"/>
        <v>0</v>
      </c>
      <c r="DC87" s="8">
        <f t="shared" si="149"/>
        <v>0</v>
      </c>
      <c r="DD87" s="8">
        <f t="shared" si="150"/>
        <v>0</v>
      </c>
      <c r="DE87" s="8">
        <f t="shared" si="151"/>
        <v>0</v>
      </c>
      <c r="DF87" s="8">
        <f t="shared" si="152"/>
        <v>0</v>
      </c>
      <c r="DG87" s="8">
        <f t="shared" si="153"/>
        <v>0</v>
      </c>
      <c r="DH87" s="8">
        <f t="shared" si="154"/>
        <v>0</v>
      </c>
      <c r="DI87" s="8">
        <f t="shared" si="155"/>
        <v>0</v>
      </c>
      <c r="DJ87" s="8">
        <f t="shared" si="156"/>
        <v>0</v>
      </c>
      <c r="DK87" s="8">
        <f t="shared" si="157"/>
        <v>0</v>
      </c>
      <c r="DL87" s="8">
        <f t="shared" si="158"/>
        <v>0</v>
      </c>
      <c r="DM87" s="8">
        <f t="shared" si="159"/>
        <v>0</v>
      </c>
      <c r="DN87" s="8">
        <f t="shared" si="160"/>
        <v>0</v>
      </c>
      <c r="DO87" s="177"/>
      <c r="DP87" s="141"/>
      <c r="DQ87" s="141"/>
      <c r="DR87" s="141"/>
      <c r="DS87" s="141"/>
      <c r="DT87" s="141"/>
      <c r="DU87" s="141"/>
      <c r="DV87" s="141" t="s">
        <v>417</v>
      </c>
      <c r="DW87" s="141" t="s">
        <v>417</v>
      </c>
      <c r="DX87" s="141" t="s">
        <v>417</v>
      </c>
      <c r="DY87" s="141" t="s">
        <v>417</v>
      </c>
      <c r="DZ87" s="141" t="s">
        <v>417</v>
      </c>
      <c r="EA87" s="141" t="s">
        <v>417</v>
      </c>
      <c r="EB87" s="141" t="s">
        <v>417</v>
      </c>
      <c r="EC87" s="141" t="s">
        <v>417</v>
      </c>
      <c r="ED87" s="141" t="s">
        <v>417</v>
      </c>
      <c r="EE87" s="141" t="s">
        <v>417</v>
      </c>
      <c r="EF87" s="141" t="s">
        <v>417</v>
      </c>
      <c r="EG87" s="141" t="s">
        <v>417</v>
      </c>
      <c r="EH87" s="141" t="s">
        <v>417</v>
      </c>
      <c r="EI87" s="141" t="s">
        <v>417</v>
      </c>
      <c r="EJ87" s="142" t="s">
        <v>417</v>
      </c>
      <c r="EK87" s="180"/>
    </row>
    <row r="88" spans="2:141" x14ac:dyDescent="0.25">
      <c r="B88" s="69" t="str">
        <f>IF(Profession="","",IF(HLOOKUP(Profession,Skills!$DO$3:$EK$126,ROW(D88)-2,FALSE)="","",HLOOKUP(Profession,Skills!$DO$3:$EK$126,ROW(D88)-2,FALSE)))</f>
        <v/>
      </c>
      <c r="C88" s="32"/>
      <c r="D88" s="35" t="s">
        <v>97</v>
      </c>
      <c r="E88" s="35" t="s">
        <v>275</v>
      </c>
      <c r="F88" s="164"/>
      <c r="G88" s="33">
        <f t="shared" ca="1" si="5"/>
        <v>-9</v>
      </c>
      <c r="H88" s="33">
        <f ca="1">SUM(O88:(OFFSET(O88,0,Level)))</f>
        <v>0</v>
      </c>
      <c r="I88" s="33">
        <f t="shared" ca="1" si="134"/>
        <v>-25</v>
      </c>
      <c r="J88" s="33">
        <f t="shared" si="135"/>
        <v>16</v>
      </c>
      <c r="K88" s="33">
        <f t="shared" ca="1" si="131"/>
        <v>0</v>
      </c>
      <c r="L88" s="168"/>
      <c r="M88" s="33" t="str">
        <f t="shared" si="93"/>
        <v>RS/RS/Re</v>
      </c>
      <c r="N88" s="33" t="str">
        <f t="shared" si="94"/>
        <v>12/15</v>
      </c>
      <c r="O88" s="131"/>
      <c r="P88" s="168"/>
      <c r="Q88" s="168"/>
      <c r="R88" s="168"/>
      <c r="S88" s="168"/>
      <c r="T88" s="168"/>
      <c r="U88" s="164"/>
      <c r="V88" s="164"/>
      <c r="W88" s="164"/>
      <c r="X88" s="164"/>
      <c r="Y88" s="164"/>
      <c r="Z88" s="164"/>
      <c r="AA88" s="164"/>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73"/>
      <c r="BO88" s="27" t="str">
        <f t="shared" si="105"/>
        <v>12</v>
      </c>
      <c r="BP88" s="8" t="str">
        <f t="shared" si="106"/>
        <v>15</v>
      </c>
      <c r="BQ88" s="8">
        <f t="shared" si="110"/>
        <v>0</v>
      </c>
      <c r="BR88" s="8">
        <f t="shared" si="111"/>
        <v>0</v>
      </c>
      <c r="BS88" s="8">
        <f t="shared" si="112"/>
        <v>0</v>
      </c>
      <c r="BT88" s="8">
        <f t="shared" si="113"/>
        <v>0</v>
      </c>
      <c r="BU88" s="8">
        <f t="shared" si="114"/>
        <v>0</v>
      </c>
      <c r="BV88" s="8">
        <f t="shared" si="115"/>
        <v>0</v>
      </c>
      <c r="BW88" s="8">
        <f t="shared" si="116"/>
        <v>0</v>
      </c>
      <c r="BX88" s="8">
        <f t="shared" si="117"/>
        <v>0</v>
      </c>
      <c r="BY88" s="8">
        <f t="shared" si="118"/>
        <v>0</v>
      </c>
      <c r="BZ88" s="8">
        <f t="shared" si="119"/>
        <v>0</v>
      </c>
      <c r="CA88" s="8">
        <f t="shared" si="120"/>
        <v>0</v>
      </c>
      <c r="CB88" s="8">
        <f t="shared" si="121"/>
        <v>0</v>
      </c>
      <c r="CC88" s="8">
        <f t="shared" si="122"/>
        <v>0</v>
      </c>
      <c r="CD88" s="8">
        <f t="shared" si="123"/>
        <v>0</v>
      </c>
      <c r="CE88" s="8">
        <f t="shared" si="124"/>
        <v>0</v>
      </c>
      <c r="CF88" s="8">
        <f t="shared" si="125"/>
        <v>0</v>
      </c>
      <c r="CG88" s="8">
        <f t="shared" si="126"/>
        <v>0</v>
      </c>
      <c r="CH88" s="8">
        <f t="shared" si="127"/>
        <v>0</v>
      </c>
      <c r="CI88" s="8">
        <f t="shared" si="128"/>
        <v>0</v>
      </c>
      <c r="CJ88" s="8">
        <f t="shared" si="136"/>
        <v>0</v>
      </c>
      <c r="CK88" s="8">
        <f t="shared" si="136"/>
        <v>0</v>
      </c>
      <c r="CL88" s="8">
        <f t="shared" si="136"/>
        <v>0</v>
      </c>
      <c r="CM88" s="8">
        <f t="shared" si="136"/>
        <v>0</v>
      </c>
      <c r="CN88" s="8">
        <f t="shared" si="136"/>
        <v>0</v>
      </c>
      <c r="CO88" s="8">
        <f t="shared" si="136"/>
        <v>0</v>
      </c>
      <c r="CP88" s="8">
        <f t="shared" si="136"/>
        <v>0</v>
      </c>
      <c r="CQ88" s="8">
        <f t="shared" si="137"/>
        <v>0</v>
      </c>
      <c r="CR88" s="8">
        <f t="shared" si="138"/>
        <v>0</v>
      </c>
      <c r="CS88" s="8">
        <f t="shared" si="139"/>
        <v>0</v>
      </c>
      <c r="CT88" s="8">
        <f t="shared" si="140"/>
        <v>0</v>
      </c>
      <c r="CU88" s="8">
        <f t="shared" si="141"/>
        <v>0</v>
      </c>
      <c r="CV88" s="8">
        <f t="shared" si="142"/>
        <v>0</v>
      </c>
      <c r="CW88" s="8">
        <f t="shared" si="143"/>
        <v>0</v>
      </c>
      <c r="CX88" s="8">
        <f t="shared" si="144"/>
        <v>0</v>
      </c>
      <c r="CY88" s="8">
        <f t="shared" si="145"/>
        <v>0</v>
      </c>
      <c r="CZ88" s="8">
        <f t="shared" si="146"/>
        <v>0</v>
      </c>
      <c r="DA88" s="8">
        <f t="shared" si="147"/>
        <v>0</v>
      </c>
      <c r="DB88" s="8">
        <f t="shared" si="148"/>
        <v>0</v>
      </c>
      <c r="DC88" s="8">
        <f t="shared" si="149"/>
        <v>0</v>
      </c>
      <c r="DD88" s="8">
        <f t="shared" si="150"/>
        <v>0</v>
      </c>
      <c r="DE88" s="8">
        <f t="shared" si="151"/>
        <v>0</v>
      </c>
      <c r="DF88" s="8">
        <f t="shared" si="152"/>
        <v>0</v>
      </c>
      <c r="DG88" s="8">
        <f t="shared" si="153"/>
        <v>0</v>
      </c>
      <c r="DH88" s="8">
        <f t="shared" si="154"/>
        <v>0</v>
      </c>
      <c r="DI88" s="8">
        <f t="shared" si="155"/>
        <v>0</v>
      </c>
      <c r="DJ88" s="8">
        <f t="shared" si="156"/>
        <v>0</v>
      </c>
      <c r="DK88" s="8">
        <f t="shared" si="157"/>
        <v>0</v>
      </c>
      <c r="DL88" s="8">
        <f t="shared" si="158"/>
        <v>0</v>
      </c>
      <c r="DM88" s="8">
        <f t="shared" si="159"/>
        <v>0</v>
      </c>
      <c r="DN88" s="8">
        <f t="shared" si="160"/>
        <v>0</v>
      </c>
      <c r="DO88" s="177"/>
      <c r="DP88" s="141"/>
      <c r="DQ88" s="141"/>
      <c r="DR88" s="141"/>
      <c r="DS88" s="141"/>
      <c r="DT88" s="141"/>
      <c r="DU88" s="141"/>
      <c r="DV88" s="141" t="s">
        <v>417</v>
      </c>
      <c r="DW88" s="141" t="s">
        <v>417</v>
      </c>
      <c r="DX88" s="141" t="s">
        <v>417</v>
      </c>
      <c r="DY88" s="141" t="s">
        <v>417</v>
      </c>
      <c r="DZ88" s="141" t="s">
        <v>417</v>
      </c>
      <c r="EA88" s="141" t="s">
        <v>417</v>
      </c>
      <c r="EB88" s="141" t="s">
        <v>417</v>
      </c>
      <c r="EC88" s="141" t="s">
        <v>417</v>
      </c>
      <c r="ED88" s="141" t="s">
        <v>417</v>
      </c>
      <c r="EE88" s="141" t="s">
        <v>417</v>
      </c>
      <c r="EF88" s="141" t="s">
        <v>417</v>
      </c>
      <c r="EG88" s="141" t="s">
        <v>417</v>
      </c>
      <c r="EH88" s="141" t="s">
        <v>417</v>
      </c>
      <c r="EI88" s="141" t="s">
        <v>417</v>
      </c>
      <c r="EJ88" s="142" t="s">
        <v>417</v>
      </c>
      <c r="EK88" s="180"/>
    </row>
    <row r="89" spans="2:141" x14ac:dyDescent="0.25">
      <c r="B89" s="69" t="str">
        <f>IF(Profession="","",IF(HLOOKUP(Profession,Skills!$DO$3:$EK$126,ROW(D89)-2,FALSE)="","",HLOOKUP(Profession,Skills!$DO$3:$EK$126,ROW(D89)-2,FALSE)))</f>
        <v/>
      </c>
      <c r="C89" s="32"/>
      <c r="D89" s="35" t="s">
        <v>97</v>
      </c>
      <c r="E89" s="35" t="s">
        <v>275</v>
      </c>
      <c r="F89" s="164"/>
      <c r="G89" s="33">
        <f t="shared" ca="1" si="5"/>
        <v>-9</v>
      </c>
      <c r="H89" s="33">
        <f ca="1">SUM(O89:(OFFSET(O89,0,Level)))</f>
        <v>0</v>
      </c>
      <c r="I89" s="33">
        <f t="shared" ca="1" si="134"/>
        <v>-25</v>
      </c>
      <c r="J89" s="33">
        <f t="shared" si="135"/>
        <v>16</v>
      </c>
      <c r="K89" s="33">
        <f t="shared" ca="1" si="131"/>
        <v>0</v>
      </c>
      <c r="L89" s="168"/>
      <c r="M89" s="33" t="str">
        <f t="shared" si="93"/>
        <v>RS/RS/Re</v>
      </c>
      <c r="N89" s="33" t="str">
        <f t="shared" si="94"/>
        <v>12/15</v>
      </c>
      <c r="O89" s="131"/>
      <c r="P89" s="168"/>
      <c r="Q89" s="168"/>
      <c r="R89" s="168"/>
      <c r="S89" s="168"/>
      <c r="T89" s="168"/>
      <c r="U89" s="164"/>
      <c r="V89" s="164"/>
      <c r="W89" s="164"/>
      <c r="X89" s="164"/>
      <c r="Y89" s="164"/>
      <c r="Z89" s="164"/>
      <c r="AA89" s="164"/>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73"/>
      <c r="BO89" s="27" t="str">
        <f t="shared" si="105"/>
        <v>12</v>
      </c>
      <c r="BP89" s="8" t="str">
        <f t="shared" si="106"/>
        <v>15</v>
      </c>
      <c r="BQ89" s="8">
        <f t="shared" si="110"/>
        <v>0</v>
      </c>
      <c r="BR89" s="8">
        <f t="shared" si="111"/>
        <v>0</v>
      </c>
      <c r="BS89" s="8">
        <f t="shared" si="112"/>
        <v>0</v>
      </c>
      <c r="BT89" s="8">
        <f t="shared" si="113"/>
        <v>0</v>
      </c>
      <c r="BU89" s="8">
        <f t="shared" si="114"/>
        <v>0</v>
      </c>
      <c r="BV89" s="8">
        <f t="shared" si="115"/>
        <v>0</v>
      </c>
      <c r="BW89" s="8">
        <f t="shared" si="116"/>
        <v>0</v>
      </c>
      <c r="BX89" s="8">
        <f t="shared" si="117"/>
        <v>0</v>
      </c>
      <c r="BY89" s="8">
        <f t="shared" si="118"/>
        <v>0</v>
      </c>
      <c r="BZ89" s="8">
        <f t="shared" si="119"/>
        <v>0</v>
      </c>
      <c r="CA89" s="8">
        <f t="shared" si="120"/>
        <v>0</v>
      </c>
      <c r="CB89" s="8">
        <f t="shared" si="121"/>
        <v>0</v>
      </c>
      <c r="CC89" s="8">
        <f t="shared" si="122"/>
        <v>0</v>
      </c>
      <c r="CD89" s="8">
        <f t="shared" si="123"/>
        <v>0</v>
      </c>
      <c r="CE89" s="8">
        <f t="shared" si="124"/>
        <v>0</v>
      </c>
      <c r="CF89" s="8">
        <f t="shared" si="125"/>
        <v>0</v>
      </c>
      <c r="CG89" s="8">
        <f t="shared" si="126"/>
        <v>0</v>
      </c>
      <c r="CH89" s="8">
        <f t="shared" si="127"/>
        <v>0</v>
      </c>
      <c r="CI89" s="8">
        <f t="shared" si="128"/>
        <v>0</v>
      </c>
      <c r="CJ89" s="8">
        <f t="shared" si="136"/>
        <v>0</v>
      </c>
      <c r="CK89" s="8">
        <f t="shared" si="136"/>
        <v>0</v>
      </c>
      <c r="CL89" s="8">
        <f t="shared" si="136"/>
        <v>0</v>
      </c>
      <c r="CM89" s="8">
        <f t="shared" si="136"/>
        <v>0</v>
      </c>
      <c r="CN89" s="8">
        <f t="shared" si="136"/>
        <v>0</v>
      </c>
      <c r="CO89" s="8">
        <f t="shared" si="136"/>
        <v>0</v>
      </c>
      <c r="CP89" s="8">
        <f t="shared" si="136"/>
        <v>0</v>
      </c>
      <c r="CQ89" s="8">
        <f t="shared" si="137"/>
        <v>0</v>
      </c>
      <c r="CR89" s="8">
        <f t="shared" si="138"/>
        <v>0</v>
      </c>
      <c r="CS89" s="8">
        <f t="shared" si="139"/>
        <v>0</v>
      </c>
      <c r="CT89" s="8">
        <f t="shared" si="140"/>
        <v>0</v>
      </c>
      <c r="CU89" s="8">
        <f t="shared" si="141"/>
        <v>0</v>
      </c>
      <c r="CV89" s="8">
        <f t="shared" si="142"/>
        <v>0</v>
      </c>
      <c r="CW89" s="8">
        <f t="shared" si="143"/>
        <v>0</v>
      </c>
      <c r="CX89" s="8">
        <f t="shared" si="144"/>
        <v>0</v>
      </c>
      <c r="CY89" s="8">
        <f t="shared" si="145"/>
        <v>0</v>
      </c>
      <c r="CZ89" s="8">
        <f t="shared" si="146"/>
        <v>0</v>
      </c>
      <c r="DA89" s="8">
        <f t="shared" si="147"/>
        <v>0</v>
      </c>
      <c r="DB89" s="8">
        <f t="shared" si="148"/>
        <v>0</v>
      </c>
      <c r="DC89" s="8">
        <f t="shared" si="149"/>
        <v>0</v>
      </c>
      <c r="DD89" s="8">
        <f t="shared" si="150"/>
        <v>0</v>
      </c>
      <c r="DE89" s="8">
        <f t="shared" si="151"/>
        <v>0</v>
      </c>
      <c r="DF89" s="8">
        <f t="shared" si="152"/>
        <v>0</v>
      </c>
      <c r="DG89" s="8">
        <f t="shared" si="153"/>
        <v>0</v>
      </c>
      <c r="DH89" s="8">
        <f t="shared" si="154"/>
        <v>0</v>
      </c>
      <c r="DI89" s="8">
        <f t="shared" si="155"/>
        <v>0</v>
      </c>
      <c r="DJ89" s="8">
        <f t="shared" si="156"/>
        <v>0</v>
      </c>
      <c r="DK89" s="8">
        <f t="shared" si="157"/>
        <v>0</v>
      </c>
      <c r="DL89" s="8">
        <f t="shared" si="158"/>
        <v>0</v>
      </c>
      <c r="DM89" s="8">
        <f t="shared" si="159"/>
        <v>0</v>
      </c>
      <c r="DN89" s="8">
        <f t="shared" si="160"/>
        <v>0</v>
      </c>
      <c r="DO89" s="177"/>
      <c r="DP89" s="141"/>
      <c r="DQ89" s="141"/>
      <c r="DR89" s="141"/>
      <c r="DS89" s="141"/>
      <c r="DT89" s="141"/>
      <c r="DU89" s="141"/>
      <c r="DV89" s="141" t="s">
        <v>417</v>
      </c>
      <c r="DW89" s="141" t="s">
        <v>417</v>
      </c>
      <c r="DX89" s="141" t="s">
        <v>417</v>
      </c>
      <c r="DY89" s="141" t="s">
        <v>417</v>
      </c>
      <c r="DZ89" s="141" t="s">
        <v>417</v>
      </c>
      <c r="EA89" s="141" t="s">
        <v>417</v>
      </c>
      <c r="EB89" s="141" t="s">
        <v>417</v>
      </c>
      <c r="EC89" s="141" t="s">
        <v>417</v>
      </c>
      <c r="ED89" s="141" t="s">
        <v>417</v>
      </c>
      <c r="EE89" s="141" t="s">
        <v>417</v>
      </c>
      <c r="EF89" s="141" t="s">
        <v>417</v>
      </c>
      <c r="EG89" s="141" t="s">
        <v>417</v>
      </c>
      <c r="EH89" s="141" t="s">
        <v>417</v>
      </c>
      <c r="EI89" s="141" t="s">
        <v>417</v>
      </c>
      <c r="EJ89" s="142" t="s">
        <v>417</v>
      </c>
      <c r="EK89" s="180"/>
    </row>
    <row r="90" spans="2:141" x14ac:dyDescent="0.25">
      <c r="B90" s="69" t="str">
        <f>IF(Profession="","",IF(HLOOKUP(Profession,Skills!$DO$3:$EK$126,ROW(D90)-2,FALSE)="","",HLOOKUP(Profession,Skills!$DO$3:$EK$126,ROW(D90)-2,FALSE)))</f>
        <v/>
      </c>
      <c r="C90" s="32"/>
      <c r="D90" s="35" t="s">
        <v>97</v>
      </c>
      <c r="E90" s="35" t="s">
        <v>275</v>
      </c>
      <c r="F90" s="164"/>
      <c r="G90" s="33">
        <f ca="1">SUM(I90:L90)</f>
        <v>-9</v>
      </c>
      <c r="H90" s="33">
        <f ca="1">SUM(O90:(OFFSET(O90,0,Level)))</f>
        <v>0</v>
      </c>
      <c r="I90" s="33">
        <f ca="1">IF(Level=0,"",VLOOKUP(H90,RankBonus,2,FALSE))</f>
        <v>-25</v>
      </c>
      <c r="J90" s="33">
        <f t="shared" si="135"/>
        <v>16</v>
      </c>
      <c r="K90" s="33">
        <f t="shared" ca="1" si="131"/>
        <v>0</v>
      </c>
      <c r="L90" s="168"/>
      <c r="M90" s="33" t="str">
        <f>IF(D90="","",VLOOKUP(D90,DPCosts,2,FALSE))</f>
        <v>RS/RS/Re</v>
      </c>
      <c r="N90" s="33" t="str">
        <f>IF(OR(D90="", Profession=""),"",VLOOKUP(D90,DPCosts,MATCH(Profession,Professions,0)+2,FALSE))</f>
        <v>12/15</v>
      </c>
      <c r="O90" s="131"/>
      <c r="P90" s="168"/>
      <c r="Q90" s="168"/>
      <c r="R90" s="168"/>
      <c r="S90" s="168"/>
      <c r="T90" s="168"/>
      <c r="U90" s="164"/>
      <c r="V90" s="164"/>
      <c r="W90" s="164"/>
      <c r="X90" s="164"/>
      <c r="Y90" s="164"/>
      <c r="Z90" s="164"/>
      <c r="AA90" s="164"/>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c r="BA90" s="168"/>
      <c r="BB90" s="168"/>
      <c r="BC90" s="168"/>
      <c r="BD90" s="168"/>
      <c r="BE90" s="168"/>
      <c r="BF90" s="168"/>
      <c r="BG90" s="168"/>
      <c r="BH90" s="168"/>
      <c r="BI90" s="168"/>
      <c r="BJ90" s="168"/>
      <c r="BK90" s="168"/>
      <c r="BL90" s="168"/>
      <c r="BM90" s="173"/>
      <c r="BO90" s="27" t="str">
        <f t="shared" si="105"/>
        <v>12</v>
      </c>
      <c r="BP90" s="8" t="str">
        <f t="shared" si="106"/>
        <v>15</v>
      </c>
      <c r="BQ90" s="8">
        <f t="shared" si="110"/>
        <v>0</v>
      </c>
      <c r="BR90" s="8">
        <f t="shared" si="111"/>
        <v>0</v>
      </c>
      <c r="BS90" s="8">
        <f t="shared" si="112"/>
        <v>0</v>
      </c>
      <c r="BT90" s="8">
        <f t="shared" si="113"/>
        <v>0</v>
      </c>
      <c r="BU90" s="8">
        <f t="shared" si="114"/>
        <v>0</v>
      </c>
      <c r="BV90" s="8">
        <f t="shared" si="115"/>
        <v>0</v>
      </c>
      <c r="BW90" s="8">
        <f t="shared" si="116"/>
        <v>0</v>
      </c>
      <c r="BX90" s="8">
        <f t="shared" si="117"/>
        <v>0</v>
      </c>
      <c r="BY90" s="8">
        <f t="shared" si="118"/>
        <v>0</v>
      </c>
      <c r="BZ90" s="8">
        <f t="shared" si="119"/>
        <v>0</v>
      </c>
      <c r="CA90" s="8">
        <f t="shared" si="120"/>
        <v>0</v>
      </c>
      <c r="CB90" s="8">
        <f t="shared" si="121"/>
        <v>0</v>
      </c>
      <c r="CC90" s="8">
        <f t="shared" si="122"/>
        <v>0</v>
      </c>
      <c r="CD90" s="8">
        <f t="shared" si="123"/>
        <v>0</v>
      </c>
      <c r="CE90" s="8">
        <f t="shared" si="124"/>
        <v>0</v>
      </c>
      <c r="CF90" s="8">
        <f t="shared" si="125"/>
        <v>0</v>
      </c>
      <c r="CG90" s="8">
        <f t="shared" si="126"/>
        <v>0</v>
      </c>
      <c r="CH90" s="8">
        <f t="shared" si="127"/>
        <v>0</v>
      </c>
      <c r="CI90" s="8">
        <f t="shared" si="128"/>
        <v>0</v>
      </c>
      <c r="CJ90" s="8">
        <f t="shared" si="136"/>
        <v>0</v>
      </c>
      <c r="CK90" s="8">
        <f t="shared" si="136"/>
        <v>0</v>
      </c>
      <c r="CL90" s="8">
        <f t="shared" si="136"/>
        <v>0</v>
      </c>
      <c r="CM90" s="8">
        <f t="shared" si="136"/>
        <v>0</v>
      </c>
      <c r="CN90" s="8">
        <f t="shared" si="136"/>
        <v>0</v>
      </c>
      <c r="CO90" s="8">
        <f t="shared" si="136"/>
        <v>0</v>
      </c>
      <c r="CP90" s="8">
        <f t="shared" si="136"/>
        <v>0</v>
      </c>
      <c r="CQ90" s="8">
        <f t="shared" si="137"/>
        <v>0</v>
      </c>
      <c r="CR90" s="8">
        <f t="shared" si="138"/>
        <v>0</v>
      </c>
      <c r="CS90" s="8">
        <f t="shared" si="139"/>
        <v>0</v>
      </c>
      <c r="CT90" s="8">
        <f t="shared" si="140"/>
        <v>0</v>
      </c>
      <c r="CU90" s="8">
        <f t="shared" si="141"/>
        <v>0</v>
      </c>
      <c r="CV90" s="8">
        <f t="shared" si="142"/>
        <v>0</v>
      </c>
      <c r="CW90" s="8">
        <f t="shared" si="143"/>
        <v>0</v>
      </c>
      <c r="CX90" s="8">
        <f t="shared" si="144"/>
        <v>0</v>
      </c>
      <c r="CY90" s="8">
        <f t="shared" si="145"/>
        <v>0</v>
      </c>
      <c r="CZ90" s="8">
        <f t="shared" si="146"/>
        <v>0</v>
      </c>
      <c r="DA90" s="8">
        <f t="shared" si="147"/>
        <v>0</v>
      </c>
      <c r="DB90" s="8">
        <f t="shared" si="148"/>
        <v>0</v>
      </c>
      <c r="DC90" s="8">
        <f t="shared" si="149"/>
        <v>0</v>
      </c>
      <c r="DD90" s="8">
        <f t="shared" si="150"/>
        <v>0</v>
      </c>
      <c r="DE90" s="8">
        <f t="shared" si="151"/>
        <v>0</v>
      </c>
      <c r="DF90" s="8">
        <f t="shared" si="152"/>
        <v>0</v>
      </c>
      <c r="DG90" s="8">
        <f t="shared" si="153"/>
        <v>0</v>
      </c>
      <c r="DH90" s="8">
        <f t="shared" si="154"/>
        <v>0</v>
      </c>
      <c r="DI90" s="8">
        <f t="shared" si="155"/>
        <v>0</v>
      </c>
      <c r="DJ90" s="8">
        <f t="shared" si="156"/>
        <v>0</v>
      </c>
      <c r="DK90" s="8">
        <f t="shared" si="157"/>
        <v>0</v>
      </c>
      <c r="DL90" s="8">
        <f t="shared" si="158"/>
        <v>0</v>
      </c>
      <c r="DM90" s="8">
        <f t="shared" si="159"/>
        <v>0</v>
      </c>
      <c r="DN90" s="8">
        <f t="shared" si="160"/>
        <v>0</v>
      </c>
      <c r="DO90" s="177"/>
      <c r="DP90" s="141"/>
      <c r="DQ90" s="141"/>
      <c r="DR90" s="141"/>
      <c r="DS90" s="141"/>
      <c r="DT90" s="141"/>
      <c r="DU90" s="141"/>
      <c r="DV90" s="141" t="s">
        <v>417</v>
      </c>
      <c r="DW90" s="141" t="s">
        <v>417</v>
      </c>
      <c r="DX90" s="141" t="s">
        <v>417</v>
      </c>
      <c r="DY90" s="141" t="s">
        <v>417</v>
      </c>
      <c r="DZ90" s="141" t="s">
        <v>417</v>
      </c>
      <c r="EA90" s="141" t="s">
        <v>417</v>
      </c>
      <c r="EB90" s="141" t="s">
        <v>417</v>
      </c>
      <c r="EC90" s="141" t="s">
        <v>417</v>
      </c>
      <c r="ED90" s="141" t="s">
        <v>417</v>
      </c>
      <c r="EE90" s="141" t="s">
        <v>417</v>
      </c>
      <c r="EF90" s="141" t="s">
        <v>417</v>
      </c>
      <c r="EG90" s="141" t="s">
        <v>417</v>
      </c>
      <c r="EH90" s="141" t="s">
        <v>417</v>
      </c>
      <c r="EI90" s="141" t="s">
        <v>417</v>
      </c>
      <c r="EJ90" s="142" t="s">
        <v>417</v>
      </c>
      <c r="EK90" s="180"/>
    </row>
    <row r="91" spans="2:141" x14ac:dyDescent="0.25">
      <c r="B91" s="69" t="str">
        <f>IF(Profession="","",IF(HLOOKUP(Profession,Skills!$DO$3:$EK$126,ROW(D91)-2,FALSE)="","",HLOOKUP(Profession,Skills!$DO$3:$EK$126,ROW(D91)-2,FALSE)))</f>
        <v/>
      </c>
      <c r="C91" s="32"/>
      <c r="D91" s="35" t="s">
        <v>97</v>
      </c>
      <c r="E91" s="35" t="s">
        <v>275</v>
      </c>
      <c r="F91" s="164"/>
      <c r="G91" s="33">
        <f ca="1">SUM(I91:L91)</f>
        <v>-9</v>
      </c>
      <c r="H91" s="33">
        <f ca="1">SUM(O91:(OFFSET(O91,0,Level)))</f>
        <v>0</v>
      </c>
      <c r="I91" s="33">
        <f ca="1">IF(Level=0,"",VLOOKUP(H91,RankBonus,2,FALSE))</f>
        <v>-25</v>
      </c>
      <c r="J91" s="33">
        <f t="shared" si="135"/>
        <v>16</v>
      </c>
      <c r="K91" s="33">
        <f t="shared" ca="1" si="131"/>
        <v>0</v>
      </c>
      <c r="L91" s="168"/>
      <c r="M91" s="33" t="str">
        <f>IF(D91="","",VLOOKUP(D91,DPCosts,2,FALSE))</f>
        <v>RS/RS/Re</v>
      </c>
      <c r="N91" s="33" t="str">
        <f>IF(OR(D91="", Profession=""),"",VLOOKUP(D91,DPCosts,MATCH(Profession,Professions,0)+2,FALSE))</f>
        <v>12/15</v>
      </c>
      <c r="O91" s="131"/>
      <c r="P91" s="168"/>
      <c r="Q91" s="168"/>
      <c r="R91" s="168"/>
      <c r="S91" s="168"/>
      <c r="T91" s="168"/>
      <c r="U91" s="164"/>
      <c r="V91" s="164"/>
      <c r="W91" s="164"/>
      <c r="X91" s="164"/>
      <c r="Y91" s="164"/>
      <c r="Z91" s="164"/>
      <c r="AA91" s="164"/>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168"/>
      <c r="BH91" s="168"/>
      <c r="BI91" s="168"/>
      <c r="BJ91" s="168"/>
      <c r="BK91" s="168"/>
      <c r="BL91" s="168"/>
      <c r="BM91" s="173"/>
      <c r="BO91" s="27" t="str">
        <f t="shared" si="105"/>
        <v>12</v>
      </c>
      <c r="BP91" s="8" t="str">
        <f t="shared" si="106"/>
        <v>15</v>
      </c>
      <c r="BQ91" s="8">
        <f t="shared" si="110"/>
        <v>0</v>
      </c>
      <c r="BR91" s="8">
        <f t="shared" si="111"/>
        <v>0</v>
      </c>
      <c r="BS91" s="8">
        <f t="shared" si="112"/>
        <v>0</v>
      </c>
      <c r="BT91" s="8">
        <f t="shared" si="113"/>
        <v>0</v>
      </c>
      <c r="BU91" s="8">
        <f t="shared" si="114"/>
        <v>0</v>
      </c>
      <c r="BV91" s="8">
        <f t="shared" si="115"/>
        <v>0</v>
      </c>
      <c r="BW91" s="8">
        <f t="shared" si="116"/>
        <v>0</v>
      </c>
      <c r="BX91" s="8">
        <f t="shared" si="117"/>
        <v>0</v>
      </c>
      <c r="BY91" s="8">
        <f t="shared" si="118"/>
        <v>0</v>
      </c>
      <c r="BZ91" s="8">
        <f t="shared" si="119"/>
        <v>0</v>
      </c>
      <c r="CA91" s="8">
        <f t="shared" si="120"/>
        <v>0</v>
      </c>
      <c r="CB91" s="8">
        <f t="shared" si="121"/>
        <v>0</v>
      </c>
      <c r="CC91" s="8">
        <f t="shared" si="122"/>
        <v>0</v>
      </c>
      <c r="CD91" s="8">
        <f t="shared" si="123"/>
        <v>0</v>
      </c>
      <c r="CE91" s="8">
        <f t="shared" si="124"/>
        <v>0</v>
      </c>
      <c r="CF91" s="8">
        <f t="shared" si="125"/>
        <v>0</v>
      </c>
      <c r="CG91" s="8">
        <f t="shared" si="126"/>
        <v>0</v>
      </c>
      <c r="CH91" s="8">
        <f t="shared" si="127"/>
        <v>0</v>
      </c>
      <c r="CI91" s="8">
        <f t="shared" si="128"/>
        <v>0</v>
      </c>
      <c r="CJ91" s="8">
        <f t="shared" si="136"/>
        <v>0</v>
      </c>
      <c r="CK91" s="8">
        <f t="shared" si="136"/>
        <v>0</v>
      </c>
      <c r="CL91" s="8">
        <f t="shared" si="136"/>
        <v>0</v>
      </c>
      <c r="CM91" s="8">
        <f t="shared" si="136"/>
        <v>0</v>
      </c>
      <c r="CN91" s="8">
        <f t="shared" si="136"/>
        <v>0</v>
      </c>
      <c r="CO91" s="8">
        <f t="shared" si="136"/>
        <v>0</v>
      </c>
      <c r="CP91" s="8">
        <f t="shared" si="136"/>
        <v>0</v>
      </c>
      <c r="CQ91" s="8">
        <f t="shared" si="137"/>
        <v>0</v>
      </c>
      <c r="CR91" s="8">
        <f t="shared" si="138"/>
        <v>0</v>
      </c>
      <c r="CS91" s="8">
        <f t="shared" si="139"/>
        <v>0</v>
      </c>
      <c r="CT91" s="8">
        <f t="shared" si="140"/>
        <v>0</v>
      </c>
      <c r="CU91" s="8">
        <f t="shared" si="141"/>
        <v>0</v>
      </c>
      <c r="CV91" s="8">
        <f t="shared" si="142"/>
        <v>0</v>
      </c>
      <c r="CW91" s="8">
        <f t="shared" si="143"/>
        <v>0</v>
      </c>
      <c r="CX91" s="8">
        <f t="shared" si="144"/>
        <v>0</v>
      </c>
      <c r="CY91" s="8">
        <f t="shared" si="145"/>
        <v>0</v>
      </c>
      <c r="CZ91" s="8">
        <f t="shared" si="146"/>
        <v>0</v>
      </c>
      <c r="DA91" s="8">
        <f t="shared" si="147"/>
        <v>0</v>
      </c>
      <c r="DB91" s="8">
        <f t="shared" si="148"/>
        <v>0</v>
      </c>
      <c r="DC91" s="8">
        <f t="shared" si="149"/>
        <v>0</v>
      </c>
      <c r="DD91" s="8">
        <f t="shared" si="150"/>
        <v>0</v>
      </c>
      <c r="DE91" s="8">
        <f t="shared" si="151"/>
        <v>0</v>
      </c>
      <c r="DF91" s="8">
        <f t="shared" si="152"/>
        <v>0</v>
      </c>
      <c r="DG91" s="8">
        <f t="shared" si="153"/>
        <v>0</v>
      </c>
      <c r="DH91" s="8">
        <f t="shared" si="154"/>
        <v>0</v>
      </c>
      <c r="DI91" s="8">
        <f t="shared" si="155"/>
        <v>0</v>
      </c>
      <c r="DJ91" s="8">
        <f t="shared" si="156"/>
        <v>0</v>
      </c>
      <c r="DK91" s="8">
        <f t="shared" si="157"/>
        <v>0</v>
      </c>
      <c r="DL91" s="8">
        <f t="shared" si="158"/>
        <v>0</v>
      </c>
      <c r="DM91" s="8">
        <f t="shared" si="159"/>
        <v>0</v>
      </c>
      <c r="DN91" s="8">
        <f t="shared" si="160"/>
        <v>0</v>
      </c>
      <c r="DO91" s="177"/>
      <c r="DP91" s="141"/>
      <c r="DQ91" s="141"/>
      <c r="DR91" s="141"/>
      <c r="DS91" s="141"/>
      <c r="DT91" s="141"/>
      <c r="DU91" s="141"/>
      <c r="DV91" s="141" t="s">
        <v>417</v>
      </c>
      <c r="DW91" s="141" t="s">
        <v>417</v>
      </c>
      <c r="DX91" s="141" t="s">
        <v>417</v>
      </c>
      <c r="DY91" s="141" t="s">
        <v>417</v>
      </c>
      <c r="DZ91" s="141" t="s">
        <v>417</v>
      </c>
      <c r="EA91" s="141" t="s">
        <v>417</v>
      </c>
      <c r="EB91" s="141" t="s">
        <v>417</v>
      </c>
      <c r="EC91" s="141" t="s">
        <v>417</v>
      </c>
      <c r="ED91" s="141" t="s">
        <v>417</v>
      </c>
      <c r="EE91" s="141" t="s">
        <v>417</v>
      </c>
      <c r="EF91" s="141" t="s">
        <v>417</v>
      </c>
      <c r="EG91" s="141" t="s">
        <v>417</v>
      </c>
      <c r="EH91" s="141" t="s">
        <v>417</v>
      </c>
      <c r="EI91" s="141" t="s">
        <v>417</v>
      </c>
      <c r="EJ91" s="142" t="s">
        <v>417</v>
      </c>
      <c r="EK91" s="180"/>
    </row>
    <row r="92" spans="2:141" x14ac:dyDescent="0.25">
      <c r="B92" s="69" t="str">
        <f>IF(Profession="","",IF(HLOOKUP(Profession,Skills!$DO$3:$EK$126,ROW(D92)-2,FALSE)="","",HLOOKUP(Profession,Skills!$DO$3:$EK$126,ROW(D92)-2,FALSE)))</f>
        <v/>
      </c>
      <c r="C92" s="32"/>
      <c r="D92" s="35" t="s">
        <v>97</v>
      </c>
      <c r="E92" s="35" t="s">
        <v>275</v>
      </c>
      <c r="F92" s="164"/>
      <c r="G92" s="33">
        <f ca="1">SUM(I92:L92)</f>
        <v>-9</v>
      </c>
      <c r="H92" s="33">
        <f ca="1">SUM(O92:(OFFSET(O92,0,Level)))</f>
        <v>0</v>
      </c>
      <c r="I92" s="33">
        <f ca="1">IF(Level=0,"",VLOOKUP(H92,RankBonus,2,FALSE))</f>
        <v>-25</v>
      </c>
      <c r="J92" s="33">
        <f t="shared" si="135"/>
        <v>16</v>
      </c>
      <c r="K92" s="33">
        <f t="shared" ca="1" si="131"/>
        <v>0</v>
      </c>
      <c r="L92" s="168"/>
      <c r="M92" s="33" t="str">
        <f>IF(D92="","",VLOOKUP(D92,DPCosts,2,FALSE))</f>
        <v>RS/RS/Re</v>
      </c>
      <c r="N92" s="33" t="str">
        <f>IF(OR(D92="", Profession=""),"",VLOOKUP(D92,DPCosts,MATCH(Profession,Professions,0)+2,FALSE))</f>
        <v>12/15</v>
      </c>
      <c r="O92" s="131"/>
      <c r="P92" s="168"/>
      <c r="Q92" s="168"/>
      <c r="R92" s="168"/>
      <c r="S92" s="168"/>
      <c r="T92" s="168"/>
      <c r="U92" s="164"/>
      <c r="V92" s="164"/>
      <c r="W92" s="164"/>
      <c r="X92" s="164"/>
      <c r="Y92" s="164"/>
      <c r="Z92" s="164"/>
      <c r="AA92" s="164"/>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168"/>
      <c r="BM92" s="173"/>
      <c r="BO92" s="27" t="str">
        <f t="shared" si="105"/>
        <v>12</v>
      </c>
      <c r="BP92" s="8" t="str">
        <f t="shared" si="106"/>
        <v>15</v>
      </c>
      <c r="BQ92" s="8">
        <f t="shared" si="110"/>
        <v>0</v>
      </c>
      <c r="BR92" s="8">
        <f t="shared" si="111"/>
        <v>0</v>
      </c>
      <c r="BS92" s="8">
        <f t="shared" si="112"/>
        <v>0</v>
      </c>
      <c r="BT92" s="8">
        <f t="shared" si="113"/>
        <v>0</v>
      </c>
      <c r="BU92" s="8">
        <f t="shared" si="114"/>
        <v>0</v>
      </c>
      <c r="BV92" s="8">
        <f t="shared" si="115"/>
        <v>0</v>
      </c>
      <c r="BW92" s="8">
        <f t="shared" si="116"/>
        <v>0</v>
      </c>
      <c r="BX92" s="8">
        <f t="shared" si="117"/>
        <v>0</v>
      </c>
      <c r="BY92" s="8">
        <f t="shared" si="118"/>
        <v>0</v>
      </c>
      <c r="BZ92" s="8">
        <f t="shared" si="119"/>
        <v>0</v>
      </c>
      <c r="CA92" s="8">
        <f t="shared" si="120"/>
        <v>0</v>
      </c>
      <c r="CB92" s="8">
        <f t="shared" si="121"/>
        <v>0</v>
      </c>
      <c r="CC92" s="8">
        <f t="shared" si="122"/>
        <v>0</v>
      </c>
      <c r="CD92" s="8">
        <f t="shared" si="123"/>
        <v>0</v>
      </c>
      <c r="CE92" s="8">
        <f t="shared" si="124"/>
        <v>0</v>
      </c>
      <c r="CF92" s="8">
        <f t="shared" si="125"/>
        <v>0</v>
      </c>
      <c r="CG92" s="8">
        <f t="shared" si="126"/>
        <v>0</v>
      </c>
      <c r="CH92" s="8">
        <f t="shared" si="127"/>
        <v>0</v>
      </c>
      <c r="CI92" s="8">
        <f t="shared" si="128"/>
        <v>0</v>
      </c>
      <c r="CJ92" s="8">
        <f t="shared" si="136"/>
        <v>0</v>
      </c>
      <c r="CK92" s="8">
        <f t="shared" si="136"/>
        <v>0</v>
      </c>
      <c r="CL92" s="8">
        <f t="shared" si="136"/>
        <v>0</v>
      </c>
      <c r="CM92" s="8">
        <f t="shared" si="136"/>
        <v>0</v>
      </c>
      <c r="CN92" s="8">
        <f t="shared" si="136"/>
        <v>0</v>
      </c>
      <c r="CO92" s="8">
        <f t="shared" si="136"/>
        <v>0</v>
      </c>
      <c r="CP92" s="8">
        <f t="shared" si="136"/>
        <v>0</v>
      </c>
      <c r="CQ92" s="8">
        <f t="shared" si="137"/>
        <v>0</v>
      </c>
      <c r="CR92" s="8">
        <f t="shared" si="138"/>
        <v>0</v>
      </c>
      <c r="CS92" s="8">
        <f t="shared" si="139"/>
        <v>0</v>
      </c>
      <c r="CT92" s="8">
        <f t="shared" si="140"/>
        <v>0</v>
      </c>
      <c r="CU92" s="8">
        <f t="shared" si="141"/>
        <v>0</v>
      </c>
      <c r="CV92" s="8">
        <f t="shared" si="142"/>
        <v>0</v>
      </c>
      <c r="CW92" s="8">
        <f t="shared" si="143"/>
        <v>0</v>
      </c>
      <c r="CX92" s="8">
        <f t="shared" si="144"/>
        <v>0</v>
      </c>
      <c r="CY92" s="8">
        <f t="shared" si="145"/>
        <v>0</v>
      </c>
      <c r="CZ92" s="8">
        <f t="shared" si="146"/>
        <v>0</v>
      </c>
      <c r="DA92" s="8">
        <f t="shared" si="147"/>
        <v>0</v>
      </c>
      <c r="DB92" s="8">
        <f t="shared" si="148"/>
        <v>0</v>
      </c>
      <c r="DC92" s="8">
        <f t="shared" si="149"/>
        <v>0</v>
      </c>
      <c r="DD92" s="8">
        <f t="shared" si="150"/>
        <v>0</v>
      </c>
      <c r="DE92" s="8">
        <f t="shared" si="151"/>
        <v>0</v>
      </c>
      <c r="DF92" s="8">
        <f t="shared" si="152"/>
        <v>0</v>
      </c>
      <c r="DG92" s="8">
        <f t="shared" si="153"/>
        <v>0</v>
      </c>
      <c r="DH92" s="8">
        <f t="shared" si="154"/>
        <v>0</v>
      </c>
      <c r="DI92" s="8">
        <f t="shared" si="155"/>
        <v>0</v>
      </c>
      <c r="DJ92" s="8">
        <f t="shared" si="156"/>
        <v>0</v>
      </c>
      <c r="DK92" s="8">
        <f t="shared" si="157"/>
        <v>0</v>
      </c>
      <c r="DL92" s="8">
        <f t="shared" si="158"/>
        <v>0</v>
      </c>
      <c r="DM92" s="8">
        <f t="shared" si="159"/>
        <v>0</v>
      </c>
      <c r="DN92" s="8">
        <f t="shared" si="160"/>
        <v>0</v>
      </c>
      <c r="DO92" s="177"/>
      <c r="DP92" s="141"/>
      <c r="DQ92" s="141"/>
      <c r="DR92" s="141"/>
      <c r="DS92" s="141"/>
      <c r="DT92" s="141"/>
      <c r="DU92" s="141"/>
      <c r="DV92" s="141" t="s">
        <v>417</v>
      </c>
      <c r="DW92" s="141" t="s">
        <v>417</v>
      </c>
      <c r="DX92" s="141" t="s">
        <v>417</v>
      </c>
      <c r="DY92" s="141" t="s">
        <v>417</v>
      </c>
      <c r="DZ92" s="141" t="s">
        <v>417</v>
      </c>
      <c r="EA92" s="141" t="s">
        <v>417</v>
      </c>
      <c r="EB92" s="141" t="s">
        <v>417</v>
      </c>
      <c r="EC92" s="141" t="s">
        <v>417</v>
      </c>
      <c r="ED92" s="141" t="s">
        <v>417</v>
      </c>
      <c r="EE92" s="141" t="s">
        <v>417</v>
      </c>
      <c r="EF92" s="141" t="s">
        <v>417</v>
      </c>
      <c r="EG92" s="141" t="s">
        <v>417</v>
      </c>
      <c r="EH92" s="141" t="s">
        <v>417</v>
      </c>
      <c r="EI92" s="141" t="s">
        <v>417</v>
      </c>
      <c r="EJ92" s="142" t="s">
        <v>417</v>
      </c>
      <c r="EK92" s="180"/>
    </row>
    <row r="93" spans="2:141" x14ac:dyDescent="0.25">
      <c r="B93" s="69" t="str">
        <f>IF(Profession="","",IF(HLOOKUP(Profession,Skills!$DO$3:$EK$126,ROW(D93)-2,FALSE)="","",HLOOKUP(Profession,Skills!$DO$3:$EK$126,ROW(D93)-2,FALSE)))</f>
        <v/>
      </c>
      <c r="C93" s="32"/>
      <c r="D93" s="35" t="s">
        <v>97</v>
      </c>
      <c r="E93" s="35" t="s">
        <v>275</v>
      </c>
      <c r="F93" s="164"/>
      <c r="G93" s="33">
        <f ca="1">SUM(I93:L93)</f>
        <v>-9</v>
      </c>
      <c r="H93" s="33">
        <f ca="1">SUM(O93:(OFFSET(O93,0,Level)))</f>
        <v>0</v>
      </c>
      <c r="I93" s="33">
        <f ca="1">IF(Level=0,"",VLOOKUP(H93,RankBonus,2,FALSE))</f>
        <v>-25</v>
      </c>
      <c r="J93" s="33">
        <f t="shared" si="135"/>
        <v>16</v>
      </c>
      <c r="K93" s="33">
        <f t="shared" ca="1" si="131"/>
        <v>0</v>
      </c>
      <c r="L93" s="168"/>
      <c r="M93" s="33" t="str">
        <f>IF(D93="","",VLOOKUP(D93,DPCosts,2,FALSE))</f>
        <v>RS/RS/Re</v>
      </c>
      <c r="N93" s="33" t="str">
        <f>IF(OR(D93="", Profession=""),"",VLOOKUP(D93,DPCosts,MATCH(Profession,Professions,0)+2,FALSE))</f>
        <v>12/15</v>
      </c>
      <c r="O93" s="131"/>
      <c r="P93" s="168"/>
      <c r="Q93" s="168"/>
      <c r="R93" s="168"/>
      <c r="S93" s="168"/>
      <c r="T93" s="168"/>
      <c r="U93" s="164"/>
      <c r="V93" s="164"/>
      <c r="W93" s="164"/>
      <c r="X93" s="164"/>
      <c r="Y93" s="164"/>
      <c r="Z93" s="164"/>
      <c r="AA93" s="164"/>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c r="BA93" s="168"/>
      <c r="BB93" s="168"/>
      <c r="BC93" s="168"/>
      <c r="BD93" s="168"/>
      <c r="BE93" s="168"/>
      <c r="BF93" s="168"/>
      <c r="BG93" s="168"/>
      <c r="BH93" s="168"/>
      <c r="BI93" s="168"/>
      <c r="BJ93" s="168"/>
      <c r="BK93" s="168"/>
      <c r="BL93" s="168"/>
      <c r="BM93" s="173"/>
      <c r="BO93" s="27" t="str">
        <f t="shared" si="105"/>
        <v>12</v>
      </c>
      <c r="BP93" s="8" t="str">
        <f t="shared" si="106"/>
        <v>15</v>
      </c>
      <c r="BQ93" s="8">
        <f t="shared" si="110"/>
        <v>0</v>
      </c>
      <c r="BR93" s="8">
        <f t="shared" si="111"/>
        <v>0</v>
      </c>
      <c r="BS93" s="8">
        <f t="shared" si="112"/>
        <v>0</v>
      </c>
      <c r="BT93" s="8">
        <f t="shared" si="113"/>
        <v>0</v>
      </c>
      <c r="BU93" s="8">
        <f t="shared" si="114"/>
        <v>0</v>
      </c>
      <c r="BV93" s="8">
        <f t="shared" si="115"/>
        <v>0</v>
      </c>
      <c r="BW93" s="8">
        <f t="shared" si="116"/>
        <v>0</v>
      </c>
      <c r="BX93" s="8">
        <f t="shared" si="117"/>
        <v>0</v>
      </c>
      <c r="BY93" s="8">
        <f t="shared" si="118"/>
        <v>0</v>
      </c>
      <c r="BZ93" s="8">
        <f t="shared" si="119"/>
        <v>0</v>
      </c>
      <c r="CA93" s="8">
        <f t="shared" si="120"/>
        <v>0</v>
      </c>
      <c r="CB93" s="8">
        <f t="shared" si="121"/>
        <v>0</v>
      </c>
      <c r="CC93" s="8">
        <f t="shared" si="122"/>
        <v>0</v>
      </c>
      <c r="CD93" s="8">
        <f t="shared" si="123"/>
        <v>0</v>
      </c>
      <c r="CE93" s="8">
        <f t="shared" si="124"/>
        <v>0</v>
      </c>
      <c r="CF93" s="8">
        <f t="shared" si="125"/>
        <v>0</v>
      </c>
      <c r="CG93" s="8">
        <f t="shared" si="126"/>
        <v>0</v>
      </c>
      <c r="CH93" s="8">
        <f t="shared" si="127"/>
        <v>0</v>
      </c>
      <c r="CI93" s="8">
        <f t="shared" si="128"/>
        <v>0</v>
      </c>
      <c r="CJ93" s="8">
        <f t="shared" ref="CJ93:DN93" si="161">IF(AI93=0,0,IF(AI93=1,INT($BO93),$BO93+$BP93*(AI93-1)))</f>
        <v>0</v>
      </c>
      <c r="CK93" s="8">
        <f t="shared" si="161"/>
        <v>0</v>
      </c>
      <c r="CL93" s="8">
        <f t="shared" si="161"/>
        <v>0</v>
      </c>
      <c r="CM93" s="8">
        <f t="shared" si="161"/>
        <v>0</v>
      </c>
      <c r="CN93" s="8">
        <f t="shared" si="161"/>
        <v>0</v>
      </c>
      <c r="CO93" s="8">
        <f t="shared" si="161"/>
        <v>0</v>
      </c>
      <c r="CP93" s="8">
        <f t="shared" si="161"/>
        <v>0</v>
      </c>
      <c r="CQ93" s="8">
        <f t="shared" si="161"/>
        <v>0</v>
      </c>
      <c r="CR93" s="8">
        <f t="shared" si="161"/>
        <v>0</v>
      </c>
      <c r="CS93" s="8">
        <f t="shared" si="161"/>
        <v>0</v>
      </c>
      <c r="CT93" s="8">
        <f t="shared" si="161"/>
        <v>0</v>
      </c>
      <c r="CU93" s="8">
        <f t="shared" si="161"/>
        <v>0</v>
      </c>
      <c r="CV93" s="8">
        <f t="shared" si="161"/>
        <v>0</v>
      </c>
      <c r="CW93" s="8">
        <f t="shared" si="161"/>
        <v>0</v>
      </c>
      <c r="CX93" s="8">
        <f t="shared" si="161"/>
        <v>0</v>
      </c>
      <c r="CY93" s="8">
        <f t="shared" si="161"/>
        <v>0</v>
      </c>
      <c r="CZ93" s="8">
        <f t="shared" si="161"/>
        <v>0</v>
      </c>
      <c r="DA93" s="8">
        <f t="shared" si="161"/>
        <v>0</v>
      </c>
      <c r="DB93" s="8">
        <f t="shared" si="161"/>
        <v>0</v>
      </c>
      <c r="DC93" s="8">
        <f t="shared" si="161"/>
        <v>0</v>
      </c>
      <c r="DD93" s="8">
        <f t="shared" si="161"/>
        <v>0</v>
      </c>
      <c r="DE93" s="8">
        <f t="shared" si="161"/>
        <v>0</v>
      </c>
      <c r="DF93" s="8">
        <f t="shared" si="161"/>
        <v>0</v>
      </c>
      <c r="DG93" s="8">
        <f t="shared" si="161"/>
        <v>0</v>
      </c>
      <c r="DH93" s="8">
        <f t="shared" si="161"/>
        <v>0</v>
      </c>
      <c r="DI93" s="8">
        <f t="shared" si="161"/>
        <v>0</v>
      </c>
      <c r="DJ93" s="8">
        <f t="shared" si="161"/>
        <v>0</v>
      </c>
      <c r="DK93" s="8">
        <f t="shared" si="161"/>
        <v>0</v>
      </c>
      <c r="DL93" s="8">
        <f t="shared" si="161"/>
        <v>0</v>
      </c>
      <c r="DM93" s="8">
        <f t="shared" si="161"/>
        <v>0</v>
      </c>
      <c r="DN93" s="8">
        <f t="shared" si="161"/>
        <v>0</v>
      </c>
      <c r="DO93" s="177"/>
      <c r="DP93" s="141"/>
      <c r="DQ93" s="141"/>
      <c r="DR93" s="141"/>
      <c r="DS93" s="141"/>
      <c r="DT93" s="141"/>
      <c r="DU93" s="141"/>
      <c r="DV93" s="141" t="s">
        <v>417</v>
      </c>
      <c r="DW93" s="141" t="s">
        <v>417</v>
      </c>
      <c r="DX93" s="141" t="s">
        <v>417</v>
      </c>
      <c r="DY93" s="141" t="s">
        <v>417</v>
      </c>
      <c r="DZ93" s="141" t="s">
        <v>417</v>
      </c>
      <c r="EA93" s="141" t="s">
        <v>417</v>
      </c>
      <c r="EB93" s="141" t="s">
        <v>417</v>
      </c>
      <c r="EC93" s="141" t="s">
        <v>417</v>
      </c>
      <c r="ED93" s="141" t="s">
        <v>417</v>
      </c>
      <c r="EE93" s="141" t="s">
        <v>417</v>
      </c>
      <c r="EF93" s="141" t="s">
        <v>417</v>
      </c>
      <c r="EG93" s="141" t="s">
        <v>417</v>
      </c>
      <c r="EH93" s="141" t="s">
        <v>417</v>
      </c>
      <c r="EI93" s="141" t="s">
        <v>417</v>
      </c>
      <c r="EJ93" s="142" t="s">
        <v>417</v>
      </c>
      <c r="EK93" s="180"/>
    </row>
    <row r="94" spans="2:141" x14ac:dyDescent="0.25">
      <c r="B94" s="69" t="str">
        <f>IF(Profession="","",IF(HLOOKUP(Profession,Skills!$DO$3:$EK$126,ROW(D94)-2,FALSE)="","",HLOOKUP(Profession,Skills!$DO$3:$EK$126,ROW(D94)-2,FALSE)))</f>
        <v/>
      </c>
      <c r="C94" s="32"/>
      <c r="D94" s="35" t="s">
        <v>97</v>
      </c>
      <c r="E94" s="35" t="s">
        <v>275</v>
      </c>
      <c r="F94" s="164"/>
      <c r="G94" s="33">
        <f t="shared" ca="1" si="5"/>
        <v>-9</v>
      </c>
      <c r="H94" s="33">
        <f ca="1">SUM(O94:(OFFSET(O94,0,Level)))</f>
        <v>0</v>
      </c>
      <c r="I94" s="33">
        <f t="shared" ca="1" si="134"/>
        <v>-25</v>
      </c>
      <c r="J94" s="33">
        <f t="shared" si="135"/>
        <v>16</v>
      </c>
      <c r="K94" s="33">
        <f t="shared" ca="1" si="131"/>
        <v>0</v>
      </c>
      <c r="L94" s="168"/>
      <c r="M94" s="33" t="str">
        <f t="shared" si="93"/>
        <v>RS/RS/Re</v>
      </c>
      <c r="N94" s="33" t="str">
        <f>IF(OR(D94="", Profession=""),"",VLOOKUP(D94,DPCosts,MATCH(Profession,Professions,0)+2,FALSE))</f>
        <v>12/15</v>
      </c>
      <c r="O94" s="131"/>
      <c r="P94" s="168"/>
      <c r="Q94" s="168"/>
      <c r="R94" s="168"/>
      <c r="S94" s="168"/>
      <c r="T94" s="168"/>
      <c r="U94" s="164"/>
      <c r="V94" s="164"/>
      <c r="W94" s="164"/>
      <c r="X94" s="164"/>
      <c r="Y94" s="164"/>
      <c r="Z94" s="164"/>
      <c r="AA94" s="164"/>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73"/>
      <c r="BO94" s="27" t="str">
        <f t="shared" si="105"/>
        <v>12</v>
      </c>
      <c r="BP94" s="8" t="str">
        <f t="shared" si="106"/>
        <v>15</v>
      </c>
      <c r="BQ94" s="8">
        <f t="shared" si="110"/>
        <v>0</v>
      </c>
      <c r="BR94" s="8">
        <f t="shared" si="111"/>
        <v>0</v>
      </c>
      <c r="BS94" s="8">
        <f t="shared" si="112"/>
        <v>0</v>
      </c>
      <c r="BT94" s="8">
        <f t="shared" si="113"/>
        <v>0</v>
      </c>
      <c r="BU94" s="8">
        <f t="shared" si="114"/>
        <v>0</v>
      </c>
      <c r="BV94" s="8">
        <f t="shared" si="115"/>
        <v>0</v>
      </c>
      <c r="BW94" s="8">
        <f t="shared" si="116"/>
        <v>0</v>
      </c>
      <c r="BX94" s="8">
        <f t="shared" si="117"/>
        <v>0</v>
      </c>
      <c r="BY94" s="8">
        <f t="shared" si="118"/>
        <v>0</v>
      </c>
      <c r="BZ94" s="8">
        <f t="shared" si="119"/>
        <v>0</v>
      </c>
      <c r="CA94" s="8">
        <f t="shared" si="120"/>
        <v>0</v>
      </c>
      <c r="CB94" s="8">
        <f t="shared" si="121"/>
        <v>0</v>
      </c>
      <c r="CC94" s="8">
        <f t="shared" si="122"/>
        <v>0</v>
      </c>
      <c r="CD94" s="8">
        <f t="shared" si="123"/>
        <v>0</v>
      </c>
      <c r="CE94" s="8">
        <f t="shared" si="124"/>
        <v>0</v>
      </c>
      <c r="CF94" s="8">
        <f t="shared" si="125"/>
        <v>0</v>
      </c>
      <c r="CG94" s="8">
        <f t="shared" si="126"/>
        <v>0</v>
      </c>
      <c r="CH94" s="8">
        <f t="shared" si="127"/>
        <v>0</v>
      </c>
      <c r="CI94" s="8">
        <f t="shared" si="128"/>
        <v>0</v>
      </c>
      <c r="CJ94" s="8">
        <f t="shared" si="136"/>
        <v>0</v>
      </c>
      <c r="CK94" s="8">
        <f t="shared" si="136"/>
        <v>0</v>
      </c>
      <c r="CL94" s="8">
        <f t="shared" si="136"/>
        <v>0</v>
      </c>
      <c r="CM94" s="8">
        <f t="shared" si="136"/>
        <v>0</v>
      </c>
      <c r="CN94" s="8">
        <f t="shared" si="136"/>
        <v>0</v>
      </c>
      <c r="CO94" s="8">
        <f t="shared" si="136"/>
        <v>0</v>
      </c>
      <c r="CP94" s="8">
        <f t="shared" si="136"/>
        <v>0</v>
      </c>
      <c r="CQ94" s="8">
        <f t="shared" si="137"/>
        <v>0</v>
      </c>
      <c r="CR94" s="8">
        <f t="shared" si="138"/>
        <v>0</v>
      </c>
      <c r="CS94" s="8">
        <f t="shared" si="139"/>
        <v>0</v>
      </c>
      <c r="CT94" s="8">
        <f t="shared" si="140"/>
        <v>0</v>
      </c>
      <c r="CU94" s="8">
        <f t="shared" si="141"/>
        <v>0</v>
      </c>
      <c r="CV94" s="8">
        <f t="shared" si="142"/>
        <v>0</v>
      </c>
      <c r="CW94" s="8">
        <f t="shared" si="143"/>
        <v>0</v>
      </c>
      <c r="CX94" s="8">
        <f t="shared" si="144"/>
        <v>0</v>
      </c>
      <c r="CY94" s="8">
        <f t="shared" si="145"/>
        <v>0</v>
      </c>
      <c r="CZ94" s="8">
        <f t="shared" si="146"/>
        <v>0</v>
      </c>
      <c r="DA94" s="8">
        <f t="shared" si="147"/>
        <v>0</v>
      </c>
      <c r="DB94" s="8">
        <f t="shared" si="148"/>
        <v>0</v>
      </c>
      <c r="DC94" s="8">
        <f t="shared" si="149"/>
        <v>0</v>
      </c>
      <c r="DD94" s="8">
        <f t="shared" si="150"/>
        <v>0</v>
      </c>
      <c r="DE94" s="8">
        <f t="shared" si="151"/>
        <v>0</v>
      </c>
      <c r="DF94" s="8">
        <f t="shared" si="152"/>
        <v>0</v>
      </c>
      <c r="DG94" s="8">
        <f t="shared" si="153"/>
        <v>0</v>
      </c>
      <c r="DH94" s="8">
        <f t="shared" si="154"/>
        <v>0</v>
      </c>
      <c r="DI94" s="8">
        <f t="shared" si="155"/>
        <v>0</v>
      </c>
      <c r="DJ94" s="8">
        <f t="shared" si="156"/>
        <v>0</v>
      </c>
      <c r="DK94" s="8">
        <f t="shared" si="157"/>
        <v>0</v>
      </c>
      <c r="DL94" s="8">
        <f t="shared" si="158"/>
        <v>0</v>
      </c>
      <c r="DM94" s="8">
        <f t="shared" si="159"/>
        <v>0</v>
      </c>
      <c r="DN94" s="8">
        <f t="shared" si="160"/>
        <v>0</v>
      </c>
      <c r="DO94" s="177"/>
      <c r="DP94" s="141"/>
      <c r="DQ94" s="141"/>
      <c r="DR94" s="141"/>
      <c r="DS94" s="141"/>
      <c r="DT94" s="141"/>
      <c r="DU94" s="141"/>
      <c r="DV94" s="141" t="s">
        <v>417</v>
      </c>
      <c r="DW94" s="141" t="s">
        <v>417</v>
      </c>
      <c r="DX94" s="141" t="s">
        <v>417</v>
      </c>
      <c r="DY94" s="141" t="s">
        <v>417</v>
      </c>
      <c r="DZ94" s="141" t="s">
        <v>417</v>
      </c>
      <c r="EA94" s="141" t="s">
        <v>417</v>
      </c>
      <c r="EB94" s="141" t="s">
        <v>417</v>
      </c>
      <c r="EC94" s="141" t="s">
        <v>417</v>
      </c>
      <c r="ED94" s="141" t="s">
        <v>417</v>
      </c>
      <c r="EE94" s="141" t="s">
        <v>417</v>
      </c>
      <c r="EF94" s="141" t="s">
        <v>417</v>
      </c>
      <c r="EG94" s="141" t="s">
        <v>417</v>
      </c>
      <c r="EH94" s="141" t="s">
        <v>417</v>
      </c>
      <c r="EI94" s="141" t="s">
        <v>417</v>
      </c>
      <c r="EJ94" s="142" t="s">
        <v>417</v>
      </c>
      <c r="EK94" s="180"/>
    </row>
    <row r="95" spans="2:141" x14ac:dyDescent="0.25">
      <c r="B95" s="69" t="str">
        <f>IF(Profession="","",IF(HLOOKUP(Profession,Skills!$DO$3:$EK$126,ROW(D95)-2,FALSE)="","",HLOOKUP(Profession,Skills!$DO$3:$EK$126,ROW(D95)-2,FALSE)))</f>
        <v/>
      </c>
      <c r="C95" s="32"/>
      <c r="D95" s="35" t="s">
        <v>97</v>
      </c>
      <c r="E95" s="35" t="s">
        <v>275</v>
      </c>
      <c r="F95" s="164"/>
      <c r="G95" s="33">
        <f t="shared" ca="1" si="5"/>
        <v>-9</v>
      </c>
      <c r="H95" s="33">
        <f ca="1">SUM(O95:(OFFSET(O95,0,Level)))</f>
        <v>0</v>
      </c>
      <c r="I95" s="33">
        <f t="shared" ca="1" si="134"/>
        <v>-25</v>
      </c>
      <c r="J95" s="33">
        <f t="shared" si="135"/>
        <v>16</v>
      </c>
      <c r="K95" s="33">
        <f t="shared" ca="1" si="131"/>
        <v>0</v>
      </c>
      <c r="L95" s="168"/>
      <c r="M95" s="33" t="str">
        <f t="shared" ref="M95:M122" si="162">IF(D95="","",VLOOKUP(D95,DPCosts,2,FALSE))</f>
        <v>RS/RS/Re</v>
      </c>
      <c r="N95" s="33" t="str">
        <f t="shared" ref="N95:N122" si="163">IF(OR(D95="", Profession=""),"",VLOOKUP(D95,DPCosts,MATCH(Profession,Professions,0)+2,FALSE))</f>
        <v>12/15</v>
      </c>
      <c r="O95" s="131"/>
      <c r="P95" s="168"/>
      <c r="Q95" s="168"/>
      <c r="R95" s="168"/>
      <c r="S95" s="168"/>
      <c r="T95" s="168"/>
      <c r="U95" s="164"/>
      <c r="V95" s="164"/>
      <c r="W95" s="164"/>
      <c r="X95" s="164"/>
      <c r="Y95" s="164"/>
      <c r="Z95" s="164"/>
      <c r="AA95" s="164"/>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c r="BM95" s="173"/>
      <c r="BO95" s="27" t="str">
        <f t="shared" si="105"/>
        <v>12</v>
      </c>
      <c r="BP95" s="8" t="str">
        <f t="shared" si="106"/>
        <v>15</v>
      </c>
      <c r="BQ95" s="8">
        <f t="shared" si="110"/>
        <v>0</v>
      </c>
      <c r="BR95" s="8">
        <f t="shared" si="111"/>
        <v>0</v>
      </c>
      <c r="BS95" s="8">
        <f t="shared" si="112"/>
        <v>0</v>
      </c>
      <c r="BT95" s="8">
        <f t="shared" si="113"/>
        <v>0</v>
      </c>
      <c r="BU95" s="8">
        <f t="shared" si="114"/>
        <v>0</v>
      </c>
      <c r="BV95" s="8">
        <f t="shared" si="115"/>
        <v>0</v>
      </c>
      <c r="BW95" s="8">
        <f t="shared" si="116"/>
        <v>0</v>
      </c>
      <c r="BX95" s="8">
        <f t="shared" si="117"/>
        <v>0</v>
      </c>
      <c r="BY95" s="8">
        <f t="shared" si="118"/>
        <v>0</v>
      </c>
      <c r="BZ95" s="8">
        <f t="shared" si="119"/>
        <v>0</v>
      </c>
      <c r="CA95" s="8">
        <f t="shared" si="120"/>
        <v>0</v>
      </c>
      <c r="CB95" s="8">
        <f t="shared" si="121"/>
        <v>0</v>
      </c>
      <c r="CC95" s="8">
        <f t="shared" si="122"/>
        <v>0</v>
      </c>
      <c r="CD95" s="8">
        <f t="shared" si="123"/>
        <v>0</v>
      </c>
      <c r="CE95" s="8">
        <f t="shared" si="124"/>
        <v>0</v>
      </c>
      <c r="CF95" s="8">
        <f t="shared" si="125"/>
        <v>0</v>
      </c>
      <c r="CG95" s="8">
        <f t="shared" si="126"/>
        <v>0</v>
      </c>
      <c r="CH95" s="8">
        <f t="shared" si="127"/>
        <v>0</v>
      </c>
      <c r="CI95" s="8">
        <f t="shared" si="128"/>
        <v>0</v>
      </c>
      <c r="CJ95" s="8">
        <f t="shared" si="136"/>
        <v>0</v>
      </c>
      <c r="CK95" s="8">
        <f t="shared" si="136"/>
        <v>0</v>
      </c>
      <c r="CL95" s="8">
        <f t="shared" si="136"/>
        <v>0</v>
      </c>
      <c r="CM95" s="8">
        <f t="shared" si="136"/>
        <v>0</v>
      </c>
      <c r="CN95" s="8">
        <f t="shared" si="136"/>
        <v>0</v>
      </c>
      <c r="CO95" s="8">
        <f t="shared" si="136"/>
        <v>0</v>
      </c>
      <c r="CP95" s="8">
        <f t="shared" si="136"/>
        <v>0</v>
      </c>
      <c r="CQ95" s="8">
        <f t="shared" si="137"/>
        <v>0</v>
      </c>
      <c r="CR95" s="8">
        <f t="shared" si="138"/>
        <v>0</v>
      </c>
      <c r="CS95" s="8">
        <f t="shared" si="139"/>
        <v>0</v>
      </c>
      <c r="CT95" s="8">
        <f t="shared" si="140"/>
        <v>0</v>
      </c>
      <c r="CU95" s="8">
        <f t="shared" si="141"/>
        <v>0</v>
      </c>
      <c r="CV95" s="8">
        <f t="shared" si="142"/>
        <v>0</v>
      </c>
      <c r="CW95" s="8">
        <f t="shared" si="143"/>
        <v>0</v>
      </c>
      <c r="CX95" s="8">
        <f t="shared" si="144"/>
        <v>0</v>
      </c>
      <c r="CY95" s="8">
        <f t="shared" si="145"/>
        <v>0</v>
      </c>
      <c r="CZ95" s="8">
        <f t="shared" si="146"/>
        <v>0</v>
      </c>
      <c r="DA95" s="8">
        <f t="shared" si="147"/>
        <v>0</v>
      </c>
      <c r="DB95" s="8">
        <f t="shared" si="148"/>
        <v>0</v>
      </c>
      <c r="DC95" s="8">
        <f t="shared" si="149"/>
        <v>0</v>
      </c>
      <c r="DD95" s="8">
        <f t="shared" si="150"/>
        <v>0</v>
      </c>
      <c r="DE95" s="8">
        <f t="shared" si="151"/>
        <v>0</v>
      </c>
      <c r="DF95" s="8">
        <f t="shared" si="152"/>
        <v>0</v>
      </c>
      <c r="DG95" s="8">
        <f t="shared" si="153"/>
        <v>0</v>
      </c>
      <c r="DH95" s="8">
        <f t="shared" si="154"/>
        <v>0</v>
      </c>
      <c r="DI95" s="8">
        <f t="shared" si="155"/>
        <v>0</v>
      </c>
      <c r="DJ95" s="8">
        <f t="shared" si="156"/>
        <v>0</v>
      </c>
      <c r="DK95" s="8">
        <f t="shared" si="157"/>
        <v>0</v>
      </c>
      <c r="DL95" s="8">
        <f t="shared" si="158"/>
        <v>0</v>
      </c>
      <c r="DM95" s="8">
        <f t="shared" si="159"/>
        <v>0</v>
      </c>
      <c r="DN95" s="8">
        <f t="shared" si="160"/>
        <v>0</v>
      </c>
      <c r="DO95" s="177"/>
      <c r="DP95" s="141"/>
      <c r="DQ95" s="141"/>
      <c r="DR95" s="141"/>
      <c r="DS95" s="141"/>
      <c r="DT95" s="141"/>
      <c r="DU95" s="141"/>
      <c r="DV95" s="141" t="s">
        <v>417</v>
      </c>
      <c r="DW95" s="141" t="s">
        <v>417</v>
      </c>
      <c r="DX95" s="141" t="s">
        <v>417</v>
      </c>
      <c r="DY95" s="141" t="s">
        <v>417</v>
      </c>
      <c r="DZ95" s="141" t="s">
        <v>417</v>
      </c>
      <c r="EA95" s="141" t="s">
        <v>417</v>
      </c>
      <c r="EB95" s="141" t="s">
        <v>417</v>
      </c>
      <c r="EC95" s="141" t="s">
        <v>417</v>
      </c>
      <c r="ED95" s="141" t="s">
        <v>417</v>
      </c>
      <c r="EE95" s="141" t="s">
        <v>417</v>
      </c>
      <c r="EF95" s="141" t="s">
        <v>417</v>
      </c>
      <c r="EG95" s="141" t="s">
        <v>417</v>
      </c>
      <c r="EH95" s="141" t="s">
        <v>417</v>
      </c>
      <c r="EI95" s="141" t="s">
        <v>417</v>
      </c>
      <c r="EJ95" s="142" t="s">
        <v>417</v>
      </c>
      <c r="EK95" s="180"/>
    </row>
    <row r="96" spans="2:141" x14ac:dyDescent="0.25">
      <c r="B96" s="69" t="str">
        <f>IF(Profession="","",IF(HLOOKUP(Profession,Skills!$DO$3:$EK$126,ROW(D96)-2,FALSE)="","",HLOOKUP(Profession,Skills!$DO$3:$EK$126,ROW(D96)-2,FALSE)))</f>
        <v/>
      </c>
      <c r="C96" s="32"/>
      <c r="D96" s="35" t="s">
        <v>98</v>
      </c>
      <c r="E96" s="35" t="s">
        <v>326</v>
      </c>
      <c r="F96" s="164"/>
      <c r="G96" s="33">
        <f t="shared" ref="G96:G126" ca="1" si="164">SUM(I96:L96)</f>
        <v>-9</v>
      </c>
      <c r="H96" s="33">
        <f ca="1">SUM(O96:(OFFSET(O96,0,Level)))</f>
        <v>0</v>
      </c>
      <c r="I96" s="33">
        <f t="shared" ca="1" si="134"/>
        <v>-25</v>
      </c>
      <c r="J96" s="33">
        <f t="shared" si="135"/>
        <v>16</v>
      </c>
      <c r="K96" s="33">
        <f t="shared" ca="1" si="131"/>
        <v>0</v>
      </c>
      <c r="L96" s="168"/>
      <c r="M96" s="33" t="str">
        <f t="shared" si="162"/>
        <v>RS/RS/Re</v>
      </c>
      <c r="N96" s="33" t="str">
        <f>IF(OR(D96="", Profession=""),"",VLOOKUP(D96,DPCosts,MATCH(Profession,Professions,0)+2,FALSE))</f>
        <v>20/24</v>
      </c>
      <c r="O96" s="131"/>
      <c r="P96" s="168"/>
      <c r="Q96" s="168"/>
      <c r="R96" s="168"/>
      <c r="S96" s="168"/>
      <c r="T96" s="168"/>
      <c r="U96" s="164"/>
      <c r="V96" s="164"/>
      <c r="W96" s="164"/>
      <c r="X96" s="164"/>
      <c r="Y96" s="164"/>
      <c r="Z96" s="164"/>
      <c r="AA96" s="164"/>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73"/>
      <c r="BO96" s="27" t="str">
        <f t="shared" si="105"/>
        <v>20</v>
      </c>
      <c r="BP96" s="8" t="str">
        <f t="shared" si="106"/>
        <v>24</v>
      </c>
      <c r="BQ96" s="8">
        <f t="shared" si="110"/>
        <v>0</v>
      </c>
      <c r="BR96" s="8">
        <f t="shared" si="111"/>
        <v>0</v>
      </c>
      <c r="BS96" s="8">
        <f t="shared" si="112"/>
        <v>0</v>
      </c>
      <c r="BT96" s="8">
        <f t="shared" si="113"/>
        <v>0</v>
      </c>
      <c r="BU96" s="8">
        <f t="shared" si="114"/>
        <v>0</v>
      </c>
      <c r="BV96" s="8">
        <f t="shared" si="115"/>
        <v>0</v>
      </c>
      <c r="BW96" s="8">
        <f t="shared" si="116"/>
        <v>0</v>
      </c>
      <c r="BX96" s="8">
        <f t="shared" si="117"/>
        <v>0</v>
      </c>
      <c r="BY96" s="8">
        <f t="shared" si="118"/>
        <v>0</v>
      </c>
      <c r="BZ96" s="8">
        <f t="shared" si="119"/>
        <v>0</v>
      </c>
      <c r="CA96" s="8">
        <f t="shared" si="120"/>
        <v>0</v>
      </c>
      <c r="CB96" s="8">
        <f t="shared" si="121"/>
        <v>0</v>
      </c>
      <c r="CC96" s="8">
        <f t="shared" si="122"/>
        <v>0</v>
      </c>
      <c r="CD96" s="8">
        <f t="shared" si="123"/>
        <v>0</v>
      </c>
      <c r="CE96" s="8">
        <f t="shared" si="124"/>
        <v>0</v>
      </c>
      <c r="CF96" s="8">
        <f t="shared" si="125"/>
        <v>0</v>
      </c>
      <c r="CG96" s="8">
        <f t="shared" si="126"/>
        <v>0</v>
      </c>
      <c r="CH96" s="8">
        <f t="shared" si="127"/>
        <v>0</v>
      </c>
      <c r="CI96" s="8">
        <f t="shared" si="128"/>
        <v>0</v>
      </c>
      <c r="CJ96" s="8">
        <f t="shared" si="136"/>
        <v>0</v>
      </c>
      <c r="CK96" s="8">
        <f t="shared" si="136"/>
        <v>0</v>
      </c>
      <c r="CL96" s="8">
        <f t="shared" si="136"/>
        <v>0</v>
      </c>
      <c r="CM96" s="8">
        <f t="shared" si="136"/>
        <v>0</v>
      </c>
      <c r="CN96" s="8">
        <f t="shared" si="136"/>
        <v>0</v>
      </c>
      <c r="CO96" s="8">
        <f t="shared" si="136"/>
        <v>0</v>
      </c>
      <c r="CP96" s="8">
        <f t="shared" si="136"/>
        <v>0</v>
      </c>
      <c r="CQ96" s="8">
        <f t="shared" si="137"/>
        <v>0</v>
      </c>
      <c r="CR96" s="8">
        <f t="shared" si="138"/>
        <v>0</v>
      </c>
      <c r="CS96" s="8">
        <f t="shared" si="139"/>
        <v>0</v>
      </c>
      <c r="CT96" s="8">
        <f t="shared" si="140"/>
        <v>0</v>
      </c>
      <c r="CU96" s="8">
        <f t="shared" si="141"/>
        <v>0</v>
      </c>
      <c r="CV96" s="8">
        <f t="shared" si="142"/>
        <v>0</v>
      </c>
      <c r="CW96" s="8">
        <f t="shared" si="143"/>
        <v>0</v>
      </c>
      <c r="CX96" s="8">
        <f t="shared" si="144"/>
        <v>0</v>
      </c>
      <c r="CY96" s="8">
        <f t="shared" si="145"/>
        <v>0</v>
      </c>
      <c r="CZ96" s="8">
        <f t="shared" si="146"/>
        <v>0</v>
      </c>
      <c r="DA96" s="8">
        <f t="shared" si="147"/>
        <v>0</v>
      </c>
      <c r="DB96" s="8">
        <f t="shared" si="148"/>
        <v>0</v>
      </c>
      <c r="DC96" s="8">
        <f t="shared" si="149"/>
        <v>0</v>
      </c>
      <c r="DD96" s="8">
        <f t="shared" si="150"/>
        <v>0</v>
      </c>
      <c r="DE96" s="8">
        <f t="shared" si="151"/>
        <v>0</v>
      </c>
      <c r="DF96" s="8">
        <f t="shared" si="152"/>
        <v>0</v>
      </c>
      <c r="DG96" s="8">
        <f t="shared" si="153"/>
        <v>0</v>
      </c>
      <c r="DH96" s="8">
        <f t="shared" si="154"/>
        <v>0</v>
      </c>
      <c r="DI96" s="8">
        <f t="shared" si="155"/>
        <v>0</v>
      </c>
      <c r="DJ96" s="8">
        <f t="shared" si="156"/>
        <v>0</v>
      </c>
      <c r="DK96" s="8">
        <f t="shared" si="157"/>
        <v>0</v>
      </c>
      <c r="DL96" s="8">
        <f t="shared" si="158"/>
        <v>0</v>
      </c>
      <c r="DM96" s="8">
        <f t="shared" si="159"/>
        <v>0</v>
      </c>
      <c r="DN96" s="8">
        <f t="shared" si="160"/>
        <v>0</v>
      </c>
      <c r="DO96" s="177"/>
      <c r="DP96" s="141"/>
      <c r="DQ96" s="141"/>
      <c r="DR96" s="141"/>
      <c r="DS96" s="141"/>
      <c r="DT96" s="141"/>
      <c r="DU96" s="141"/>
      <c r="DV96" s="141" t="s">
        <v>417</v>
      </c>
      <c r="DW96" s="141" t="s">
        <v>417</v>
      </c>
      <c r="DX96" s="141" t="s">
        <v>417</v>
      </c>
      <c r="DY96" s="141" t="s">
        <v>417</v>
      </c>
      <c r="DZ96" s="141" t="s">
        <v>417</v>
      </c>
      <c r="EA96" s="141" t="s">
        <v>417</v>
      </c>
      <c r="EB96" s="141" t="s">
        <v>417</v>
      </c>
      <c r="EC96" s="141" t="s">
        <v>417</v>
      </c>
      <c r="ED96" s="141" t="s">
        <v>417</v>
      </c>
      <c r="EE96" s="141" t="s">
        <v>417</v>
      </c>
      <c r="EF96" s="141" t="s">
        <v>417</v>
      </c>
      <c r="EG96" s="141" t="s">
        <v>417</v>
      </c>
      <c r="EH96" s="141" t="s">
        <v>417</v>
      </c>
      <c r="EI96" s="141" t="s">
        <v>417</v>
      </c>
      <c r="EJ96" s="142" t="s">
        <v>417</v>
      </c>
      <c r="EK96" s="180"/>
    </row>
    <row r="97" spans="2:141" x14ac:dyDescent="0.25">
      <c r="B97" s="69" t="str">
        <f>IF(Profession="","",IF(HLOOKUP(Profession,Skills!$DO$3:$EK$126,ROW(D97)-2,FALSE)="","",HLOOKUP(Profession,Skills!$DO$3:$EK$126,ROW(D97)-2,FALSE)))</f>
        <v/>
      </c>
      <c r="C97" s="32"/>
      <c r="D97" s="35" t="s">
        <v>98</v>
      </c>
      <c r="E97" s="35" t="s">
        <v>326</v>
      </c>
      <c r="F97" s="164"/>
      <c r="G97" s="33">
        <f t="shared" ca="1" si="164"/>
        <v>-9</v>
      </c>
      <c r="H97" s="33">
        <f ca="1">SUM(O97:(OFFSET(O97,0,Level)))</f>
        <v>0</v>
      </c>
      <c r="I97" s="33">
        <f t="shared" ca="1" si="134"/>
        <v>-25</v>
      </c>
      <c r="J97" s="33">
        <f t="shared" si="135"/>
        <v>16</v>
      </c>
      <c r="K97" s="33">
        <f t="shared" ca="1" si="131"/>
        <v>0</v>
      </c>
      <c r="L97" s="168"/>
      <c r="M97" s="33" t="str">
        <f t="shared" si="162"/>
        <v>RS/RS/Re</v>
      </c>
      <c r="N97" s="33" t="str">
        <f t="shared" si="163"/>
        <v>20/24</v>
      </c>
      <c r="O97" s="131"/>
      <c r="P97" s="168"/>
      <c r="Q97" s="168"/>
      <c r="R97" s="168"/>
      <c r="S97" s="168"/>
      <c r="T97" s="168"/>
      <c r="U97" s="164"/>
      <c r="V97" s="164"/>
      <c r="W97" s="164"/>
      <c r="X97" s="164"/>
      <c r="Y97" s="164"/>
      <c r="Z97" s="164"/>
      <c r="AA97" s="164"/>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73"/>
      <c r="BO97" s="27" t="str">
        <f t="shared" si="105"/>
        <v>20</v>
      </c>
      <c r="BP97" s="8" t="str">
        <f t="shared" si="106"/>
        <v>24</v>
      </c>
      <c r="BQ97" s="8">
        <f t="shared" si="110"/>
        <v>0</v>
      </c>
      <c r="BR97" s="8">
        <f t="shared" si="111"/>
        <v>0</v>
      </c>
      <c r="BS97" s="8">
        <f t="shared" si="112"/>
        <v>0</v>
      </c>
      <c r="BT97" s="8">
        <f t="shared" si="113"/>
        <v>0</v>
      </c>
      <c r="BU97" s="8">
        <f t="shared" si="114"/>
        <v>0</v>
      </c>
      <c r="BV97" s="8">
        <f t="shared" si="115"/>
        <v>0</v>
      </c>
      <c r="BW97" s="8">
        <f t="shared" si="116"/>
        <v>0</v>
      </c>
      <c r="BX97" s="8">
        <f t="shared" si="117"/>
        <v>0</v>
      </c>
      <c r="BY97" s="8">
        <f t="shared" si="118"/>
        <v>0</v>
      </c>
      <c r="BZ97" s="8">
        <f t="shared" si="119"/>
        <v>0</v>
      </c>
      <c r="CA97" s="8">
        <f t="shared" si="120"/>
        <v>0</v>
      </c>
      <c r="CB97" s="8">
        <f t="shared" si="121"/>
        <v>0</v>
      </c>
      <c r="CC97" s="8">
        <f t="shared" si="122"/>
        <v>0</v>
      </c>
      <c r="CD97" s="8">
        <f t="shared" si="123"/>
        <v>0</v>
      </c>
      <c r="CE97" s="8">
        <f t="shared" si="124"/>
        <v>0</v>
      </c>
      <c r="CF97" s="8">
        <f t="shared" si="125"/>
        <v>0</v>
      </c>
      <c r="CG97" s="8">
        <f t="shared" si="126"/>
        <v>0</v>
      </c>
      <c r="CH97" s="8">
        <f t="shared" si="127"/>
        <v>0</v>
      </c>
      <c r="CI97" s="8">
        <f t="shared" si="128"/>
        <v>0</v>
      </c>
      <c r="CJ97" s="8">
        <f t="shared" si="136"/>
        <v>0</v>
      </c>
      <c r="CK97" s="8">
        <f t="shared" si="136"/>
        <v>0</v>
      </c>
      <c r="CL97" s="8">
        <f t="shared" si="136"/>
        <v>0</v>
      </c>
      <c r="CM97" s="8">
        <f t="shared" si="136"/>
        <v>0</v>
      </c>
      <c r="CN97" s="8">
        <f t="shared" si="136"/>
        <v>0</v>
      </c>
      <c r="CO97" s="8">
        <f t="shared" si="136"/>
        <v>0</v>
      </c>
      <c r="CP97" s="8">
        <f t="shared" si="136"/>
        <v>0</v>
      </c>
      <c r="CQ97" s="8">
        <f t="shared" si="137"/>
        <v>0</v>
      </c>
      <c r="CR97" s="8">
        <f t="shared" si="138"/>
        <v>0</v>
      </c>
      <c r="CS97" s="8">
        <f t="shared" si="139"/>
        <v>0</v>
      </c>
      <c r="CT97" s="8">
        <f t="shared" si="140"/>
        <v>0</v>
      </c>
      <c r="CU97" s="8">
        <f t="shared" si="141"/>
        <v>0</v>
      </c>
      <c r="CV97" s="8">
        <f t="shared" si="142"/>
        <v>0</v>
      </c>
      <c r="CW97" s="8">
        <f t="shared" si="143"/>
        <v>0</v>
      </c>
      <c r="CX97" s="8">
        <f t="shared" si="144"/>
        <v>0</v>
      </c>
      <c r="CY97" s="8">
        <f t="shared" si="145"/>
        <v>0</v>
      </c>
      <c r="CZ97" s="8">
        <f t="shared" si="146"/>
        <v>0</v>
      </c>
      <c r="DA97" s="8">
        <f t="shared" si="147"/>
        <v>0</v>
      </c>
      <c r="DB97" s="8">
        <f t="shared" si="148"/>
        <v>0</v>
      </c>
      <c r="DC97" s="8">
        <f t="shared" si="149"/>
        <v>0</v>
      </c>
      <c r="DD97" s="8">
        <f t="shared" si="150"/>
        <v>0</v>
      </c>
      <c r="DE97" s="8">
        <f t="shared" si="151"/>
        <v>0</v>
      </c>
      <c r="DF97" s="8">
        <f t="shared" si="152"/>
        <v>0</v>
      </c>
      <c r="DG97" s="8">
        <f t="shared" si="153"/>
        <v>0</v>
      </c>
      <c r="DH97" s="8">
        <f t="shared" si="154"/>
        <v>0</v>
      </c>
      <c r="DI97" s="8">
        <f t="shared" si="155"/>
        <v>0</v>
      </c>
      <c r="DJ97" s="8">
        <f t="shared" si="156"/>
        <v>0</v>
      </c>
      <c r="DK97" s="8">
        <f t="shared" si="157"/>
        <v>0</v>
      </c>
      <c r="DL97" s="8">
        <f t="shared" si="158"/>
        <v>0</v>
      </c>
      <c r="DM97" s="8">
        <f t="shared" si="159"/>
        <v>0</v>
      </c>
      <c r="DN97" s="8">
        <f t="shared" si="160"/>
        <v>0</v>
      </c>
      <c r="DO97" s="177"/>
      <c r="DP97" s="141"/>
      <c r="DQ97" s="141"/>
      <c r="DR97" s="141"/>
      <c r="DS97" s="141"/>
      <c r="DT97" s="141"/>
      <c r="DU97" s="141"/>
      <c r="DV97" s="141" t="s">
        <v>417</v>
      </c>
      <c r="DW97" s="141" t="s">
        <v>417</v>
      </c>
      <c r="DX97" s="141" t="s">
        <v>417</v>
      </c>
      <c r="DY97" s="141" t="s">
        <v>417</v>
      </c>
      <c r="DZ97" s="141" t="s">
        <v>417</v>
      </c>
      <c r="EA97" s="141" t="s">
        <v>417</v>
      </c>
      <c r="EB97" s="141" t="s">
        <v>417</v>
      </c>
      <c r="EC97" s="141" t="s">
        <v>417</v>
      </c>
      <c r="ED97" s="141" t="s">
        <v>417</v>
      </c>
      <c r="EE97" s="141" t="s">
        <v>417</v>
      </c>
      <c r="EF97" s="141" t="s">
        <v>417</v>
      </c>
      <c r="EG97" s="141" t="s">
        <v>417</v>
      </c>
      <c r="EH97" s="141" t="s">
        <v>417</v>
      </c>
      <c r="EI97" s="141" t="s">
        <v>417</v>
      </c>
      <c r="EJ97" s="142" t="s">
        <v>417</v>
      </c>
      <c r="EK97" s="180"/>
    </row>
    <row r="98" spans="2:141" x14ac:dyDescent="0.25">
      <c r="B98" s="69" t="str">
        <f>IF(Profession="","",IF(HLOOKUP(Profession,Skills!$DO$3:$EK$126,ROW(D98)-2,FALSE)="","",HLOOKUP(Profession,Skills!$DO$3:$EK$126,ROW(D98)-2,FALSE)))</f>
        <v/>
      </c>
      <c r="C98" s="32"/>
      <c r="D98" s="35" t="s">
        <v>98</v>
      </c>
      <c r="E98" s="35" t="s">
        <v>326</v>
      </c>
      <c r="F98" s="164"/>
      <c r="G98" s="33">
        <f t="shared" ca="1" si="164"/>
        <v>-9</v>
      </c>
      <c r="H98" s="33">
        <f ca="1">SUM(O98:(OFFSET(O98,0,Level)))</f>
        <v>0</v>
      </c>
      <c r="I98" s="33">
        <f t="shared" ca="1" si="134"/>
        <v>-25</v>
      </c>
      <c r="J98" s="33">
        <f t="shared" si="135"/>
        <v>16</v>
      </c>
      <c r="K98" s="33">
        <f t="shared" ca="1" si="131"/>
        <v>0</v>
      </c>
      <c r="L98" s="168"/>
      <c r="M98" s="33" t="str">
        <f t="shared" si="162"/>
        <v>RS/RS/Re</v>
      </c>
      <c r="N98" s="33" t="str">
        <f t="shared" si="163"/>
        <v>20/24</v>
      </c>
      <c r="O98" s="131"/>
      <c r="P98" s="168"/>
      <c r="Q98" s="168"/>
      <c r="R98" s="168"/>
      <c r="S98" s="168"/>
      <c r="T98" s="168"/>
      <c r="U98" s="164"/>
      <c r="V98" s="164"/>
      <c r="W98" s="164"/>
      <c r="X98" s="164"/>
      <c r="Y98" s="164"/>
      <c r="Z98" s="164"/>
      <c r="AA98" s="164"/>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73"/>
      <c r="BO98" s="27" t="str">
        <f t="shared" si="105"/>
        <v>20</v>
      </c>
      <c r="BP98" s="8" t="str">
        <f t="shared" si="106"/>
        <v>24</v>
      </c>
      <c r="BQ98" s="8">
        <f t="shared" si="110"/>
        <v>0</v>
      </c>
      <c r="BR98" s="8">
        <f t="shared" si="111"/>
        <v>0</v>
      </c>
      <c r="BS98" s="8">
        <f t="shared" si="112"/>
        <v>0</v>
      </c>
      <c r="BT98" s="8">
        <f t="shared" si="113"/>
        <v>0</v>
      </c>
      <c r="BU98" s="8">
        <f t="shared" si="114"/>
        <v>0</v>
      </c>
      <c r="BV98" s="8">
        <f t="shared" si="115"/>
        <v>0</v>
      </c>
      <c r="BW98" s="8">
        <f t="shared" si="116"/>
        <v>0</v>
      </c>
      <c r="BX98" s="8">
        <f t="shared" si="117"/>
        <v>0</v>
      </c>
      <c r="BY98" s="8">
        <f t="shared" si="118"/>
        <v>0</v>
      </c>
      <c r="BZ98" s="8">
        <f t="shared" si="119"/>
        <v>0</v>
      </c>
      <c r="CA98" s="8">
        <f t="shared" si="120"/>
        <v>0</v>
      </c>
      <c r="CB98" s="8">
        <f t="shared" si="121"/>
        <v>0</v>
      </c>
      <c r="CC98" s="8">
        <f t="shared" si="122"/>
        <v>0</v>
      </c>
      <c r="CD98" s="8">
        <f t="shared" si="123"/>
        <v>0</v>
      </c>
      <c r="CE98" s="8">
        <f t="shared" si="124"/>
        <v>0</v>
      </c>
      <c r="CF98" s="8">
        <f t="shared" si="125"/>
        <v>0</v>
      </c>
      <c r="CG98" s="8">
        <f t="shared" si="126"/>
        <v>0</v>
      </c>
      <c r="CH98" s="8">
        <f t="shared" si="127"/>
        <v>0</v>
      </c>
      <c r="CI98" s="8">
        <f t="shared" si="128"/>
        <v>0</v>
      </c>
      <c r="CJ98" s="8">
        <f t="shared" si="136"/>
        <v>0</v>
      </c>
      <c r="CK98" s="8">
        <f t="shared" si="136"/>
        <v>0</v>
      </c>
      <c r="CL98" s="8">
        <f t="shared" si="136"/>
        <v>0</v>
      </c>
      <c r="CM98" s="8">
        <f t="shared" si="136"/>
        <v>0</v>
      </c>
      <c r="CN98" s="8">
        <f t="shared" si="136"/>
        <v>0</v>
      </c>
      <c r="CO98" s="8">
        <f t="shared" si="136"/>
        <v>0</v>
      </c>
      <c r="CP98" s="8">
        <f t="shared" si="136"/>
        <v>0</v>
      </c>
      <c r="CQ98" s="8">
        <f t="shared" si="137"/>
        <v>0</v>
      </c>
      <c r="CR98" s="8">
        <f t="shared" si="138"/>
        <v>0</v>
      </c>
      <c r="CS98" s="8">
        <f t="shared" si="139"/>
        <v>0</v>
      </c>
      <c r="CT98" s="8">
        <f t="shared" si="140"/>
        <v>0</v>
      </c>
      <c r="CU98" s="8">
        <f t="shared" si="141"/>
        <v>0</v>
      </c>
      <c r="CV98" s="8">
        <f t="shared" si="142"/>
        <v>0</v>
      </c>
      <c r="CW98" s="8">
        <f t="shared" si="143"/>
        <v>0</v>
      </c>
      <c r="CX98" s="8">
        <f t="shared" si="144"/>
        <v>0</v>
      </c>
      <c r="CY98" s="8">
        <f t="shared" si="145"/>
        <v>0</v>
      </c>
      <c r="CZ98" s="8">
        <f t="shared" si="146"/>
        <v>0</v>
      </c>
      <c r="DA98" s="8">
        <f t="shared" si="147"/>
        <v>0</v>
      </c>
      <c r="DB98" s="8">
        <f t="shared" si="148"/>
        <v>0</v>
      </c>
      <c r="DC98" s="8">
        <f t="shared" si="149"/>
        <v>0</v>
      </c>
      <c r="DD98" s="8">
        <f t="shared" si="150"/>
        <v>0</v>
      </c>
      <c r="DE98" s="8">
        <f t="shared" si="151"/>
        <v>0</v>
      </c>
      <c r="DF98" s="8">
        <f t="shared" si="152"/>
        <v>0</v>
      </c>
      <c r="DG98" s="8">
        <f t="shared" si="153"/>
        <v>0</v>
      </c>
      <c r="DH98" s="8">
        <f t="shared" si="154"/>
        <v>0</v>
      </c>
      <c r="DI98" s="8">
        <f t="shared" si="155"/>
        <v>0</v>
      </c>
      <c r="DJ98" s="8">
        <f t="shared" si="156"/>
        <v>0</v>
      </c>
      <c r="DK98" s="8">
        <f t="shared" si="157"/>
        <v>0</v>
      </c>
      <c r="DL98" s="8">
        <f t="shared" si="158"/>
        <v>0</v>
      </c>
      <c r="DM98" s="8">
        <f t="shared" si="159"/>
        <v>0</v>
      </c>
      <c r="DN98" s="8">
        <f t="shared" si="160"/>
        <v>0</v>
      </c>
      <c r="DO98" s="177"/>
      <c r="DP98" s="141"/>
      <c r="DQ98" s="141"/>
      <c r="DR98" s="141"/>
      <c r="DS98" s="141"/>
      <c r="DT98" s="141"/>
      <c r="DU98" s="141"/>
      <c r="DV98" s="141" t="s">
        <v>417</v>
      </c>
      <c r="DW98" s="141" t="s">
        <v>417</v>
      </c>
      <c r="DX98" s="141" t="s">
        <v>417</v>
      </c>
      <c r="DY98" s="141" t="s">
        <v>417</v>
      </c>
      <c r="DZ98" s="141" t="s">
        <v>417</v>
      </c>
      <c r="EA98" s="141" t="s">
        <v>417</v>
      </c>
      <c r="EB98" s="141" t="s">
        <v>417</v>
      </c>
      <c r="EC98" s="141" t="s">
        <v>417</v>
      </c>
      <c r="ED98" s="141" t="s">
        <v>417</v>
      </c>
      <c r="EE98" s="141" t="s">
        <v>417</v>
      </c>
      <c r="EF98" s="141" t="s">
        <v>417</v>
      </c>
      <c r="EG98" s="141" t="s">
        <v>417</v>
      </c>
      <c r="EH98" s="141" t="s">
        <v>417</v>
      </c>
      <c r="EI98" s="141" t="s">
        <v>417</v>
      </c>
      <c r="EJ98" s="142" t="s">
        <v>417</v>
      </c>
      <c r="EK98" s="180"/>
    </row>
    <row r="99" spans="2:141" x14ac:dyDescent="0.25">
      <c r="B99" s="69" t="str">
        <f>IF(Profession="","",IF(HLOOKUP(Profession,Skills!$DO$3:$EK$126,ROW(D99)-2,FALSE)="","",HLOOKUP(Profession,Skills!$DO$3:$EK$126,ROW(D99)-2,FALSE)))</f>
        <v/>
      </c>
      <c r="C99" s="32"/>
      <c r="D99" s="35" t="s">
        <v>98</v>
      </c>
      <c r="E99" s="35" t="s">
        <v>326</v>
      </c>
      <c r="F99" s="164"/>
      <c r="G99" s="33">
        <f t="shared" ca="1" si="164"/>
        <v>-9</v>
      </c>
      <c r="H99" s="33">
        <f ca="1">SUM(O99:(OFFSET(O99,0,Level)))</f>
        <v>0</v>
      </c>
      <c r="I99" s="33">
        <f ca="1">IF(Level=0,"",VLOOKUP(H99,RankBonus,2,FALSE))</f>
        <v>-25</v>
      </c>
      <c r="J99" s="33">
        <f t="shared" si="135"/>
        <v>16</v>
      </c>
      <c r="K99" s="33">
        <f t="shared" ca="1" si="131"/>
        <v>0</v>
      </c>
      <c r="L99" s="168"/>
      <c r="M99" s="33" t="str">
        <f>IF(D99="","",VLOOKUP(D99,DPCosts,2,FALSE))</f>
        <v>RS/RS/Re</v>
      </c>
      <c r="N99" s="33" t="str">
        <f>IF(OR(D99="", Profession=""),"",VLOOKUP(D99,DPCosts,MATCH(Profession,Professions,0)+2,FALSE))</f>
        <v>20/24</v>
      </c>
      <c r="O99" s="131"/>
      <c r="P99" s="168"/>
      <c r="Q99" s="168"/>
      <c r="R99" s="168"/>
      <c r="S99" s="168"/>
      <c r="T99" s="168"/>
      <c r="U99" s="164"/>
      <c r="V99" s="164"/>
      <c r="W99" s="164"/>
      <c r="X99" s="164"/>
      <c r="Y99" s="164"/>
      <c r="Z99" s="164"/>
      <c r="AA99" s="164"/>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73"/>
      <c r="BO99" s="27" t="str">
        <f t="shared" si="105"/>
        <v>20</v>
      </c>
      <c r="BP99" s="8" t="str">
        <f t="shared" si="106"/>
        <v>24</v>
      </c>
      <c r="BQ99" s="8">
        <f t="shared" si="110"/>
        <v>0</v>
      </c>
      <c r="BR99" s="8">
        <f t="shared" si="111"/>
        <v>0</v>
      </c>
      <c r="BS99" s="8">
        <f t="shared" si="112"/>
        <v>0</v>
      </c>
      <c r="BT99" s="8">
        <f t="shared" si="113"/>
        <v>0</v>
      </c>
      <c r="BU99" s="8">
        <f t="shared" si="114"/>
        <v>0</v>
      </c>
      <c r="BV99" s="8">
        <f t="shared" si="115"/>
        <v>0</v>
      </c>
      <c r="BW99" s="8">
        <f t="shared" si="116"/>
        <v>0</v>
      </c>
      <c r="BX99" s="8">
        <f t="shared" si="117"/>
        <v>0</v>
      </c>
      <c r="BY99" s="8">
        <f t="shared" si="118"/>
        <v>0</v>
      </c>
      <c r="BZ99" s="8">
        <f t="shared" si="119"/>
        <v>0</v>
      </c>
      <c r="CA99" s="8">
        <f t="shared" si="120"/>
        <v>0</v>
      </c>
      <c r="CB99" s="8">
        <f t="shared" si="121"/>
        <v>0</v>
      </c>
      <c r="CC99" s="8">
        <f t="shared" si="122"/>
        <v>0</v>
      </c>
      <c r="CD99" s="8">
        <f t="shared" si="123"/>
        <v>0</v>
      </c>
      <c r="CE99" s="8">
        <f t="shared" si="124"/>
        <v>0</v>
      </c>
      <c r="CF99" s="8">
        <f t="shared" si="125"/>
        <v>0</v>
      </c>
      <c r="CG99" s="8">
        <f t="shared" si="126"/>
        <v>0</v>
      </c>
      <c r="CH99" s="8">
        <f t="shared" si="127"/>
        <v>0</v>
      </c>
      <c r="CI99" s="8">
        <f t="shared" si="128"/>
        <v>0</v>
      </c>
      <c r="CJ99" s="8">
        <f t="shared" si="136"/>
        <v>0</v>
      </c>
      <c r="CK99" s="8">
        <f t="shared" si="136"/>
        <v>0</v>
      </c>
      <c r="CL99" s="8">
        <f t="shared" si="136"/>
        <v>0</v>
      </c>
      <c r="CM99" s="8">
        <f t="shared" si="136"/>
        <v>0</v>
      </c>
      <c r="CN99" s="8">
        <f t="shared" si="136"/>
        <v>0</v>
      </c>
      <c r="CO99" s="8">
        <f t="shared" si="136"/>
        <v>0</v>
      </c>
      <c r="CP99" s="8">
        <f t="shared" si="136"/>
        <v>0</v>
      </c>
      <c r="CQ99" s="8">
        <f t="shared" si="137"/>
        <v>0</v>
      </c>
      <c r="CR99" s="8">
        <f t="shared" si="138"/>
        <v>0</v>
      </c>
      <c r="CS99" s="8">
        <f t="shared" si="139"/>
        <v>0</v>
      </c>
      <c r="CT99" s="8">
        <f t="shared" si="140"/>
        <v>0</v>
      </c>
      <c r="CU99" s="8">
        <f t="shared" si="141"/>
        <v>0</v>
      </c>
      <c r="CV99" s="8">
        <f t="shared" si="142"/>
        <v>0</v>
      </c>
      <c r="CW99" s="8">
        <f t="shared" si="143"/>
        <v>0</v>
      </c>
      <c r="CX99" s="8">
        <f t="shared" si="144"/>
        <v>0</v>
      </c>
      <c r="CY99" s="8">
        <f t="shared" si="145"/>
        <v>0</v>
      </c>
      <c r="CZ99" s="8">
        <f t="shared" si="146"/>
        <v>0</v>
      </c>
      <c r="DA99" s="8">
        <f t="shared" si="147"/>
        <v>0</v>
      </c>
      <c r="DB99" s="8">
        <f t="shared" si="148"/>
        <v>0</v>
      </c>
      <c r="DC99" s="8">
        <f t="shared" si="149"/>
        <v>0</v>
      </c>
      <c r="DD99" s="8">
        <f t="shared" si="150"/>
        <v>0</v>
      </c>
      <c r="DE99" s="8">
        <f t="shared" si="151"/>
        <v>0</v>
      </c>
      <c r="DF99" s="8">
        <f t="shared" si="152"/>
        <v>0</v>
      </c>
      <c r="DG99" s="8">
        <f t="shared" si="153"/>
        <v>0</v>
      </c>
      <c r="DH99" s="8">
        <f t="shared" si="154"/>
        <v>0</v>
      </c>
      <c r="DI99" s="8">
        <f t="shared" si="155"/>
        <v>0</v>
      </c>
      <c r="DJ99" s="8">
        <f t="shared" si="156"/>
        <v>0</v>
      </c>
      <c r="DK99" s="8">
        <f t="shared" si="157"/>
        <v>0</v>
      </c>
      <c r="DL99" s="8">
        <f t="shared" si="158"/>
        <v>0</v>
      </c>
      <c r="DM99" s="8">
        <f t="shared" si="159"/>
        <v>0</v>
      </c>
      <c r="DN99" s="8">
        <f t="shared" si="160"/>
        <v>0</v>
      </c>
      <c r="DO99" s="177"/>
      <c r="DP99" s="141"/>
      <c r="DQ99" s="141"/>
      <c r="DR99" s="141"/>
      <c r="DS99" s="141"/>
      <c r="DT99" s="141"/>
      <c r="DU99" s="141"/>
      <c r="DV99" s="141" t="s">
        <v>417</v>
      </c>
      <c r="DW99" s="141" t="s">
        <v>417</v>
      </c>
      <c r="DX99" s="141" t="s">
        <v>417</v>
      </c>
      <c r="DY99" s="141" t="s">
        <v>417</v>
      </c>
      <c r="DZ99" s="141" t="s">
        <v>417</v>
      </c>
      <c r="EA99" s="141" t="s">
        <v>417</v>
      </c>
      <c r="EB99" s="141" t="s">
        <v>417</v>
      </c>
      <c r="EC99" s="141" t="s">
        <v>417</v>
      </c>
      <c r="ED99" s="141" t="s">
        <v>417</v>
      </c>
      <c r="EE99" s="141" t="s">
        <v>417</v>
      </c>
      <c r="EF99" s="141" t="s">
        <v>417</v>
      </c>
      <c r="EG99" s="141" t="s">
        <v>417</v>
      </c>
      <c r="EH99" s="141" t="s">
        <v>417</v>
      </c>
      <c r="EI99" s="141" t="s">
        <v>417</v>
      </c>
      <c r="EJ99" s="142" t="s">
        <v>417</v>
      </c>
      <c r="EK99" s="180"/>
    </row>
    <row r="100" spans="2:141" x14ac:dyDescent="0.25">
      <c r="B100" s="69" t="str">
        <f>IF(Profession="","",IF(HLOOKUP(Profession,Skills!$DO$3:$EK$126,ROW(D100)-2,FALSE)="","",HLOOKUP(Profession,Skills!$DO$3:$EK$126,ROW(D100)-2,FALSE)))</f>
        <v/>
      </c>
      <c r="C100" s="32"/>
      <c r="D100" s="35" t="s">
        <v>98</v>
      </c>
      <c r="E100" s="35" t="s">
        <v>326</v>
      </c>
      <c r="F100" s="164"/>
      <c r="G100" s="33">
        <f t="shared" ca="1" si="164"/>
        <v>-9</v>
      </c>
      <c r="H100" s="33">
        <f ca="1">SUM(O100:(OFFSET(O100,0,Level)))</f>
        <v>0</v>
      </c>
      <c r="I100" s="33">
        <f t="shared" ca="1" si="134"/>
        <v>-25</v>
      </c>
      <c r="J100" s="33">
        <f t="shared" si="135"/>
        <v>16</v>
      </c>
      <c r="K100" s="33">
        <f t="shared" ca="1" si="131"/>
        <v>0</v>
      </c>
      <c r="L100" s="168"/>
      <c r="M100" s="33" t="str">
        <f t="shared" si="162"/>
        <v>RS/RS/Re</v>
      </c>
      <c r="N100" s="33" t="str">
        <f t="shared" si="163"/>
        <v>20/24</v>
      </c>
      <c r="O100" s="131"/>
      <c r="P100" s="168"/>
      <c r="Q100" s="168"/>
      <c r="R100" s="168"/>
      <c r="S100" s="168"/>
      <c r="T100" s="168"/>
      <c r="U100" s="164"/>
      <c r="V100" s="164"/>
      <c r="W100" s="164"/>
      <c r="X100" s="164"/>
      <c r="Y100" s="164"/>
      <c r="Z100" s="164"/>
      <c r="AA100" s="164"/>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73"/>
      <c r="BO100" s="27" t="str">
        <f t="shared" ref="BO100:BO124" si="165">IF(N100="","",MID(N100,1,FIND("/",N100)-1))</f>
        <v>20</v>
      </c>
      <c r="BP100" s="8" t="str">
        <f t="shared" ref="BP100:BP124" si="166">IF(N100="","",MID(N100,FIND("/",N100)+1,LEN(N100)))</f>
        <v>24</v>
      </c>
      <c r="BQ100" s="8">
        <f t="shared" ref="BQ100:BQ126" si="167">IF(P100=0,0,IF(P100=1,INT($BO100),$BO100+$BP100*(P100-1)))</f>
        <v>0</v>
      </c>
      <c r="BR100" s="8">
        <f t="shared" ref="BR100:BR126" si="168">IF(Q100=0,0,IF(Q100=1,INT($BO100),$BO100+$BP100*(Q100-1)))</f>
        <v>0</v>
      </c>
      <c r="BS100" s="8">
        <f t="shared" ref="BS100:BS126" si="169">IF(R100=0,0,IF(R100=1,INT($BO100),$BO100+$BP100*(R100-1)))</f>
        <v>0</v>
      </c>
      <c r="BT100" s="8">
        <f t="shared" ref="BT100:BT126" si="170">IF(S100=0,0,IF(S100=1,INT($BO100),$BO100+$BP100*(S100-1)))</f>
        <v>0</v>
      </c>
      <c r="BU100" s="8">
        <f t="shared" ref="BU100:BU126" si="171">IF(T100=0,0,IF(T100=1,INT($BO100),$BO100+$BP100*(T100-1)))</f>
        <v>0</v>
      </c>
      <c r="BV100" s="8">
        <f t="shared" ref="BV100:BV126" si="172">IF(U100=0,0,IF(U100=1,INT($BO100),$BO100+$BP100*(U100-1)))</f>
        <v>0</v>
      </c>
      <c r="BW100" s="8">
        <f t="shared" ref="BW100:BW126" si="173">IF(V100=0,0,IF(V100=1,INT($BO100),$BO100+$BP100*(V100-1)))</f>
        <v>0</v>
      </c>
      <c r="BX100" s="8">
        <f t="shared" ref="BX100:BX126" si="174">IF(W100=0,0,IF(W100=1,INT($BO100),$BO100+$BP100*(W100-1)))</f>
        <v>0</v>
      </c>
      <c r="BY100" s="8">
        <f t="shared" ref="BY100:BY126" si="175">IF(X100=0,0,IF(X100=1,INT($BO100),$BO100+$BP100*(X100-1)))</f>
        <v>0</v>
      </c>
      <c r="BZ100" s="8">
        <f t="shared" ref="BZ100:BZ126" si="176">IF(Y100=0,0,IF(Y100=1,INT($BO100),$BO100+$BP100*(Y100-1)))</f>
        <v>0</v>
      </c>
      <c r="CA100" s="8">
        <f t="shared" ref="CA100:CA126" si="177">IF(Z100=0,0,IF(Z100=1,INT($BO100),$BO100+$BP100*(Z100-1)))</f>
        <v>0</v>
      </c>
      <c r="CB100" s="8">
        <f t="shared" ref="CB100:CB126" si="178">IF(AA100=0,0,IF(AA100=1,INT($BO100),$BO100+$BP100*(AA100-1)))</f>
        <v>0</v>
      </c>
      <c r="CC100" s="8">
        <f t="shared" ref="CC100:CC126" si="179">IF(AB100=0,0,IF(AB100=1,INT($BO100),$BO100+$BP100*(AB100-1)))</f>
        <v>0</v>
      </c>
      <c r="CD100" s="8">
        <f t="shared" ref="CD100:CD126" si="180">IF(AC100=0,0,IF(AC100=1,INT($BO100),$BO100+$BP100*(AC100-1)))</f>
        <v>0</v>
      </c>
      <c r="CE100" s="8">
        <f t="shared" ref="CE100:CE126" si="181">IF(AD100=0,0,IF(AD100=1,INT($BO100),$BO100+$BP100*(AD100-1)))</f>
        <v>0</v>
      </c>
      <c r="CF100" s="8">
        <f t="shared" ref="CF100:CF126" si="182">IF(AE100=0,0,IF(AE100=1,INT($BO100),$BO100+$BP100*(AE100-1)))</f>
        <v>0</v>
      </c>
      <c r="CG100" s="8">
        <f t="shared" ref="CG100:CG126" si="183">IF(AF100=0,0,IF(AF100=1,INT($BO100),$BO100+$BP100*(AF100-1)))</f>
        <v>0</v>
      </c>
      <c r="CH100" s="8">
        <f t="shared" ref="CH100:CH126" si="184">IF(AG100=0,0,IF(AG100=1,INT($BO100),$BO100+$BP100*(AG100-1)))</f>
        <v>0</v>
      </c>
      <c r="CI100" s="8">
        <f t="shared" ref="CI100:CI126" si="185">IF(AH100=0,0,IF(AH100=1,INT($BO100),$BO100+$BP100*(AH100-1)))</f>
        <v>0</v>
      </c>
      <c r="CJ100" s="8">
        <f t="shared" ref="CJ100:CP118" si="186">IF(AI100=0,0,IF(AI100=1,INT($BO100),$BO100+$BP100*(AI100-1)))</f>
        <v>0</v>
      </c>
      <c r="CK100" s="8">
        <f t="shared" si="186"/>
        <v>0</v>
      </c>
      <c r="CL100" s="8">
        <f t="shared" si="186"/>
        <v>0</v>
      </c>
      <c r="CM100" s="8">
        <f t="shared" si="186"/>
        <v>0</v>
      </c>
      <c r="CN100" s="8">
        <f t="shared" si="186"/>
        <v>0</v>
      </c>
      <c r="CO100" s="8">
        <f t="shared" si="186"/>
        <v>0</v>
      </c>
      <c r="CP100" s="8">
        <f t="shared" si="186"/>
        <v>0</v>
      </c>
      <c r="CQ100" s="8">
        <f t="shared" si="137"/>
        <v>0</v>
      </c>
      <c r="CR100" s="8">
        <f t="shared" si="138"/>
        <v>0</v>
      </c>
      <c r="CS100" s="8">
        <f t="shared" si="139"/>
        <v>0</v>
      </c>
      <c r="CT100" s="8">
        <f t="shared" si="140"/>
        <v>0</v>
      </c>
      <c r="CU100" s="8">
        <f t="shared" si="141"/>
        <v>0</v>
      </c>
      <c r="CV100" s="8">
        <f t="shared" si="142"/>
        <v>0</v>
      </c>
      <c r="CW100" s="8">
        <f t="shared" si="143"/>
        <v>0</v>
      </c>
      <c r="CX100" s="8">
        <f t="shared" si="144"/>
        <v>0</v>
      </c>
      <c r="CY100" s="8">
        <f t="shared" si="145"/>
        <v>0</v>
      </c>
      <c r="CZ100" s="8">
        <f t="shared" si="146"/>
        <v>0</v>
      </c>
      <c r="DA100" s="8">
        <f t="shared" si="147"/>
        <v>0</v>
      </c>
      <c r="DB100" s="8">
        <f t="shared" si="148"/>
        <v>0</v>
      </c>
      <c r="DC100" s="8">
        <f t="shared" si="149"/>
        <v>0</v>
      </c>
      <c r="DD100" s="8">
        <f t="shared" si="150"/>
        <v>0</v>
      </c>
      <c r="DE100" s="8">
        <f t="shared" si="151"/>
        <v>0</v>
      </c>
      <c r="DF100" s="8">
        <f t="shared" si="152"/>
        <v>0</v>
      </c>
      <c r="DG100" s="8">
        <f t="shared" si="153"/>
        <v>0</v>
      </c>
      <c r="DH100" s="8">
        <f t="shared" si="154"/>
        <v>0</v>
      </c>
      <c r="DI100" s="8">
        <f t="shared" si="155"/>
        <v>0</v>
      </c>
      <c r="DJ100" s="8">
        <f t="shared" si="156"/>
        <v>0</v>
      </c>
      <c r="DK100" s="8">
        <f t="shared" si="157"/>
        <v>0</v>
      </c>
      <c r="DL100" s="8">
        <f t="shared" si="158"/>
        <v>0</v>
      </c>
      <c r="DM100" s="8">
        <f t="shared" si="159"/>
        <v>0</v>
      </c>
      <c r="DN100" s="8">
        <f t="shared" si="160"/>
        <v>0</v>
      </c>
      <c r="DO100" s="177"/>
      <c r="DP100" s="141"/>
      <c r="DQ100" s="141"/>
      <c r="DR100" s="141"/>
      <c r="DS100" s="141"/>
      <c r="DT100" s="141"/>
      <c r="DU100" s="141"/>
      <c r="DV100" s="141" t="s">
        <v>417</v>
      </c>
      <c r="DW100" s="141" t="s">
        <v>417</v>
      </c>
      <c r="DX100" s="141" t="s">
        <v>417</v>
      </c>
      <c r="DY100" s="141" t="s">
        <v>417</v>
      </c>
      <c r="DZ100" s="141" t="s">
        <v>417</v>
      </c>
      <c r="EA100" s="141" t="s">
        <v>417</v>
      </c>
      <c r="EB100" s="141" t="s">
        <v>417</v>
      </c>
      <c r="EC100" s="141" t="s">
        <v>417</v>
      </c>
      <c r="ED100" s="141" t="s">
        <v>417</v>
      </c>
      <c r="EE100" s="141" t="s">
        <v>417</v>
      </c>
      <c r="EF100" s="141" t="s">
        <v>417</v>
      </c>
      <c r="EG100" s="141" t="s">
        <v>417</v>
      </c>
      <c r="EH100" s="141" t="s">
        <v>417</v>
      </c>
      <c r="EI100" s="141" t="s">
        <v>417</v>
      </c>
      <c r="EJ100" s="142" t="s">
        <v>417</v>
      </c>
      <c r="EK100" s="180"/>
    </row>
    <row r="101" spans="2:141" x14ac:dyDescent="0.25">
      <c r="B101" s="69" t="str">
        <f>IF(Profession="","",IF(HLOOKUP(Profession,Skills!$DO$3:$EK$126,ROW(D101)-2,FALSE)="","",HLOOKUP(Profession,Skills!$DO$3:$EK$126,ROW(D101)-2,FALSE)))</f>
        <v/>
      </c>
      <c r="C101" s="32"/>
      <c r="D101" s="35" t="s">
        <v>98</v>
      </c>
      <c r="E101" s="35" t="s">
        <v>326</v>
      </c>
      <c r="F101" s="164"/>
      <c r="G101" s="33">
        <f ca="1">SUM(I101:L101)</f>
        <v>-9</v>
      </c>
      <c r="H101" s="33">
        <f ca="1">SUM(O101:(OFFSET(O101,0,Level)))</f>
        <v>0</v>
      </c>
      <c r="I101" s="33">
        <f ca="1">IF(Level=0,"",VLOOKUP(H101,RankBonus,2,FALSE))</f>
        <v>-25</v>
      </c>
      <c r="J101" s="33">
        <f t="shared" si="135"/>
        <v>16</v>
      </c>
      <c r="K101" s="33">
        <f t="shared" ca="1" si="131"/>
        <v>0</v>
      </c>
      <c r="L101" s="168"/>
      <c r="M101" s="33" t="str">
        <f>IF(D101="","",VLOOKUP(D101,DPCosts,2,FALSE))</f>
        <v>RS/RS/Re</v>
      </c>
      <c r="N101" s="33" t="str">
        <f>IF(OR(D101="", Profession=""),"",VLOOKUP(D101,DPCosts,MATCH(Profession,Professions,0)+2,FALSE))</f>
        <v>20/24</v>
      </c>
      <c r="O101" s="131"/>
      <c r="P101" s="168"/>
      <c r="Q101" s="168"/>
      <c r="R101" s="168"/>
      <c r="S101" s="168"/>
      <c r="T101" s="168"/>
      <c r="U101" s="164"/>
      <c r="V101" s="164"/>
      <c r="W101" s="164"/>
      <c r="X101" s="164"/>
      <c r="Y101" s="164"/>
      <c r="Z101" s="164"/>
      <c r="AA101" s="164"/>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73"/>
      <c r="BO101" s="27" t="str">
        <f t="shared" si="165"/>
        <v>20</v>
      </c>
      <c r="BP101" s="8" t="str">
        <f t="shared" si="166"/>
        <v>24</v>
      </c>
      <c r="BQ101" s="8">
        <f t="shared" si="167"/>
        <v>0</v>
      </c>
      <c r="BR101" s="8">
        <f t="shared" si="168"/>
        <v>0</v>
      </c>
      <c r="BS101" s="8">
        <f t="shared" si="169"/>
        <v>0</v>
      </c>
      <c r="BT101" s="8">
        <f t="shared" si="170"/>
        <v>0</v>
      </c>
      <c r="BU101" s="8">
        <f t="shared" si="171"/>
        <v>0</v>
      </c>
      <c r="BV101" s="8">
        <f t="shared" si="172"/>
        <v>0</v>
      </c>
      <c r="BW101" s="8">
        <f t="shared" si="173"/>
        <v>0</v>
      </c>
      <c r="BX101" s="8">
        <f t="shared" si="174"/>
        <v>0</v>
      </c>
      <c r="BY101" s="8">
        <f t="shared" si="175"/>
        <v>0</v>
      </c>
      <c r="BZ101" s="8">
        <f t="shared" si="176"/>
        <v>0</v>
      </c>
      <c r="CA101" s="8">
        <f t="shared" si="177"/>
        <v>0</v>
      </c>
      <c r="CB101" s="8">
        <f t="shared" si="178"/>
        <v>0</v>
      </c>
      <c r="CC101" s="8">
        <f t="shared" si="179"/>
        <v>0</v>
      </c>
      <c r="CD101" s="8">
        <f t="shared" si="180"/>
        <v>0</v>
      </c>
      <c r="CE101" s="8">
        <f t="shared" si="181"/>
        <v>0</v>
      </c>
      <c r="CF101" s="8">
        <f t="shared" si="182"/>
        <v>0</v>
      </c>
      <c r="CG101" s="8">
        <f t="shared" si="183"/>
        <v>0</v>
      </c>
      <c r="CH101" s="8">
        <f t="shared" si="184"/>
        <v>0</v>
      </c>
      <c r="CI101" s="8">
        <f t="shared" si="185"/>
        <v>0</v>
      </c>
      <c r="CJ101" s="8">
        <f t="shared" ref="CJ101:DN101" si="187">IF(AI101=0,0,IF(AI101=1,INT($BO101),$BO101+$BP101*(AI101-1)))</f>
        <v>0</v>
      </c>
      <c r="CK101" s="8">
        <f t="shared" si="187"/>
        <v>0</v>
      </c>
      <c r="CL101" s="8">
        <f t="shared" si="187"/>
        <v>0</v>
      </c>
      <c r="CM101" s="8">
        <f t="shared" si="187"/>
        <v>0</v>
      </c>
      <c r="CN101" s="8">
        <f t="shared" si="187"/>
        <v>0</v>
      </c>
      <c r="CO101" s="8">
        <f t="shared" si="187"/>
        <v>0</v>
      </c>
      <c r="CP101" s="8">
        <f t="shared" si="187"/>
        <v>0</v>
      </c>
      <c r="CQ101" s="8">
        <f t="shared" si="187"/>
        <v>0</v>
      </c>
      <c r="CR101" s="8">
        <f t="shared" si="187"/>
        <v>0</v>
      </c>
      <c r="CS101" s="8">
        <f t="shared" si="187"/>
        <v>0</v>
      </c>
      <c r="CT101" s="8">
        <f t="shared" si="187"/>
        <v>0</v>
      </c>
      <c r="CU101" s="8">
        <f t="shared" si="187"/>
        <v>0</v>
      </c>
      <c r="CV101" s="8">
        <f t="shared" si="187"/>
        <v>0</v>
      </c>
      <c r="CW101" s="8">
        <f t="shared" si="187"/>
        <v>0</v>
      </c>
      <c r="CX101" s="8">
        <f t="shared" si="187"/>
        <v>0</v>
      </c>
      <c r="CY101" s="8">
        <f t="shared" si="187"/>
        <v>0</v>
      </c>
      <c r="CZ101" s="8">
        <f t="shared" si="187"/>
        <v>0</v>
      </c>
      <c r="DA101" s="8">
        <f t="shared" si="187"/>
        <v>0</v>
      </c>
      <c r="DB101" s="8">
        <f t="shared" si="187"/>
        <v>0</v>
      </c>
      <c r="DC101" s="8">
        <f t="shared" si="187"/>
        <v>0</v>
      </c>
      <c r="DD101" s="8">
        <f t="shared" si="187"/>
        <v>0</v>
      </c>
      <c r="DE101" s="8">
        <f t="shared" si="187"/>
        <v>0</v>
      </c>
      <c r="DF101" s="8">
        <f t="shared" si="187"/>
        <v>0</v>
      </c>
      <c r="DG101" s="8">
        <f t="shared" si="187"/>
        <v>0</v>
      </c>
      <c r="DH101" s="8">
        <f t="shared" si="187"/>
        <v>0</v>
      </c>
      <c r="DI101" s="8">
        <f t="shared" si="187"/>
        <v>0</v>
      </c>
      <c r="DJ101" s="8">
        <f t="shared" si="187"/>
        <v>0</v>
      </c>
      <c r="DK101" s="8">
        <f t="shared" si="187"/>
        <v>0</v>
      </c>
      <c r="DL101" s="8">
        <f t="shared" si="187"/>
        <v>0</v>
      </c>
      <c r="DM101" s="8">
        <f t="shared" si="187"/>
        <v>0</v>
      </c>
      <c r="DN101" s="8">
        <f t="shared" si="187"/>
        <v>0</v>
      </c>
      <c r="DO101" s="177"/>
      <c r="DP101" s="141"/>
      <c r="DQ101" s="141"/>
      <c r="DR101" s="141"/>
      <c r="DS101" s="141"/>
      <c r="DT101" s="141"/>
      <c r="DU101" s="141"/>
      <c r="DV101" s="141" t="s">
        <v>417</v>
      </c>
      <c r="DW101" s="141" t="s">
        <v>417</v>
      </c>
      <c r="DX101" s="141" t="s">
        <v>417</v>
      </c>
      <c r="DY101" s="141" t="s">
        <v>417</v>
      </c>
      <c r="DZ101" s="141" t="s">
        <v>417</v>
      </c>
      <c r="EA101" s="141" t="s">
        <v>417</v>
      </c>
      <c r="EB101" s="141" t="s">
        <v>417</v>
      </c>
      <c r="EC101" s="141" t="s">
        <v>417</v>
      </c>
      <c r="ED101" s="141" t="s">
        <v>417</v>
      </c>
      <c r="EE101" s="141" t="s">
        <v>417</v>
      </c>
      <c r="EF101" s="141" t="s">
        <v>417</v>
      </c>
      <c r="EG101" s="141" t="s">
        <v>417</v>
      </c>
      <c r="EH101" s="141" t="s">
        <v>417</v>
      </c>
      <c r="EI101" s="141" t="s">
        <v>417</v>
      </c>
      <c r="EJ101" s="142" t="s">
        <v>417</v>
      </c>
      <c r="EK101" s="180"/>
    </row>
    <row r="102" spans="2:141" x14ac:dyDescent="0.25">
      <c r="B102" s="69" t="str">
        <f>IF(Profession="","",IF(HLOOKUP(Profession,Skills!$DO$3:$EK$126,ROW(D102)-2,FALSE)="","",HLOOKUP(Profession,Skills!$DO$3:$EK$126,ROW(D102)-2,FALSE)))</f>
        <v/>
      </c>
      <c r="C102" s="32"/>
      <c r="D102" s="35" t="s">
        <v>100</v>
      </c>
      <c r="E102" s="35" t="s">
        <v>327</v>
      </c>
      <c r="F102" s="164"/>
      <c r="G102" s="33">
        <f t="shared" ca="1" si="164"/>
        <v>-9</v>
      </c>
      <c r="H102" s="33">
        <f ca="1">SUM(O102:(OFFSET(O102,0,Level)))</f>
        <v>0</v>
      </c>
      <c r="I102" s="33">
        <f t="shared" ca="1" si="134"/>
        <v>-25</v>
      </c>
      <c r="J102" s="33">
        <f t="shared" si="135"/>
        <v>16</v>
      </c>
      <c r="K102" s="33">
        <f t="shared" ca="1" si="131"/>
        <v>0</v>
      </c>
      <c r="L102" s="168"/>
      <c r="M102" s="33" t="str">
        <f t="shared" si="162"/>
        <v>RS/RS/Re</v>
      </c>
      <c r="N102" s="33" t="str">
        <f t="shared" si="163"/>
        <v>20/24</v>
      </c>
      <c r="O102" s="131"/>
      <c r="P102" s="168"/>
      <c r="Q102" s="168"/>
      <c r="R102" s="168"/>
      <c r="S102" s="168"/>
      <c r="T102" s="168"/>
      <c r="U102" s="164"/>
      <c r="V102" s="164"/>
      <c r="W102" s="164"/>
      <c r="X102" s="164"/>
      <c r="Y102" s="164"/>
      <c r="Z102" s="164"/>
      <c r="AA102" s="164"/>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73"/>
      <c r="BO102" s="27" t="str">
        <f t="shared" si="165"/>
        <v>20</v>
      </c>
      <c r="BP102" s="8" t="str">
        <f t="shared" si="166"/>
        <v>24</v>
      </c>
      <c r="BQ102" s="8">
        <f t="shared" si="167"/>
        <v>0</v>
      </c>
      <c r="BR102" s="8">
        <f t="shared" si="168"/>
        <v>0</v>
      </c>
      <c r="BS102" s="8">
        <f t="shared" si="169"/>
        <v>0</v>
      </c>
      <c r="BT102" s="8">
        <f t="shared" si="170"/>
        <v>0</v>
      </c>
      <c r="BU102" s="8">
        <f t="shared" si="171"/>
        <v>0</v>
      </c>
      <c r="BV102" s="8">
        <f t="shared" si="172"/>
        <v>0</v>
      </c>
      <c r="BW102" s="8">
        <f t="shared" si="173"/>
        <v>0</v>
      </c>
      <c r="BX102" s="8">
        <f t="shared" si="174"/>
        <v>0</v>
      </c>
      <c r="BY102" s="8">
        <f t="shared" si="175"/>
        <v>0</v>
      </c>
      <c r="BZ102" s="8">
        <f t="shared" si="176"/>
        <v>0</v>
      </c>
      <c r="CA102" s="8">
        <f t="shared" si="177"/>
        <v>0</v>
      </c>
      <c r="CB102" s="8">
        <f t="shared" si="178"/>
        <v>0</v>
      </c>
      <c r="CC102" s="8">
        <f t="shared" si="179"/>
        <v>0</v>
      </c>
      <c r="CD102" s="8">
        <f t="shared" si="180"/>
        <v>0</v>
      </c>
      <c r="CE102" s="8">
        <f t="shared" si="181"/>
        <v>0</v>
      </c>
      <c r="CF102" s="8">
        <f t="shared" si="182"/>
        <v>0</v>
      </c>
      <c r="CG102" s="8">
        <f t="shared" si="183"/>
        <v>0</v>
      </c>
      <c r="CH102" s="8">
        <f t="shared" si="184"/>
        <v>0</v>
      </c>
      <c r="CI102" s="8">
        <f t="shared" si="185"/>
        <v>0</v>
      </c>
      <c r="CJ102" s="8">
        <f t="shared" si="186"/>
        <v>0</v>
      </c>
      <c r="CK102" s="8">
        <f t="shared" si="186"/>
        <v>0</v>
      </c>
      <c r="CL102" s="8">
        <f t="shared" si="186"/>
        <v>0</v>
      </c>
      <c r="CM102" s="8">
        <f t="shared" si="186"/>
        <v>0</v>
      </c>
      <c r="CN102" s="8">
        <f t="shared" si="186"/>
        <v>0</v>
      </c>
      <c r="CO102" s="8">
        <f t="shared" si="186"/>
        <v>0</v>
      </c>
      <c r="CP102" s="8">
        <f t="shared" si="186"/>
        <v>0</v>
      </c>
      <c r="CQ102" s="8">
        <f t="shared" si="137"/>
        <v>0</v>
      </c>
      <c r="CR102" s="8">
        <f t="shared" si="138"/>
        <v>0</v>
      </c>
      <c r="CS102" s="8">
        <f t="shared" si="139"/>
        <v>0</v>
      </c>
      <c r="CT102" s="8">
        <f t="shared" si="140"/>
        <v>0</v>
      </c>
      <c r="CU102" s="8">
        <f t="shared" si="141"/>
        <v>0</v>
      </c>
      <c r="CV102" s="8">
        <f t="shared" si="142"/>
        <v>0</v>
      </c>
      <c r="CW102" s="8">
        <f t="shared" si="143"/>
        <v>0</v>
      </c>
      <c r="CX102" s="8">
        <f t="shared" si="144"/>
        <v>0</v>
      </c>
      <c r="CY102" s="8">
        <f t="shared" si="145"/>
        <v>0</v>
      </c>
      <c r="CZ102" s="8">
        <f t="shared" si="146"/>
        <v>0</v>
      </c>
      <c r="DA102" s="8">
        <f t="shared" si="147"/>
        <v>0</v>
      </c>
      <c r="DB102" s="8">
        <f t="shared" si="148"/>
        <v>0</v>
      </c>
      <c r="DC102" s="8">
        <f t="shared" si="149"/>
        <v>0</v>
      </c>
      <c r="DD102" s="8">
        <f t="shared" si="150"/>
        <v>0</v>
      </c>
      <c r="DE102" s="8">
        <f t="shared" si="151"/>
        <v>0</v>
      </c>
      <c r="DF102" s="8">
        <f t="shared" si="152"/>
        <v>0</v>
      </c>
      <c r="DG102" s="8">
        <f t="shared" si="153"/>
        <v>0</v>
      </c>
      <c r="DH102" s="8">
        <f t="shared" si="154"/>
        <v>0</v>
      </c>
      <c r="DI102" s="8">
        <f t="shared" si="155"/>
        <v>0</v>
      </c>
      <c r="DJ102" s="8">
        <f t="shared" si="156"/>
        <v>0</v>
      </c>
      <c r="DK102" s="8">
        <f t="shared" si="157"/>
        <v>0</v>
      </c>
      <c r="DL102" s="8">
        <f t="shared" si="158"/>
        <v>0</v>
      </c>
      <c r="DM102" s="8">
        <f t="shared" si="159"/>
        <v>0</v>
      </c>
      <c r="DN102" s="8">
        <f t="shared" si="160"/>
        <v>0</v>
      </c>
      <c r="DO102" s="177"/>
      <c r="DP102" s="141"/>
      <c r="DQ102" s="141"/>
      <c r="DR102" s="141"/>
      <c r="DS102" s="141"/>
      <c r="DT102" s="141"/>
      <c r="DU102" s="141"/>
      <c r="DV102" s="141" t="s">
        <v>417</v>
      </c>
      <c r="DW102" s="141" t="s">
        <v>417</v>
      </c>
      <c r="DX102" s="141" t="s">
        <v>417</v>
      </c>
      <c r="DY102" s="141" t="s">
        <v>417</v>
      </c>
      <c r="DZ102" s="141" t="s">
        <v>417</v>
      </c>
      <c r="EA102" s="141" t="s">
        <v>417</v>
      </c>
      <c r="EB102" s="141" t="s">
        <v>417</v>
      </c>
      <c r="EC102" s="141" t="s">
        <v>417</v>
      </c>
      <c r="ED102" s="141" t="s">
        <v>417</v>
      </c>
      <c r="EE102" s="141" t="s">
        <v>417</v>
      </c>
      <c r="EF102" s="141" t="s">
        <v>417</v>
      </c>
      <c r="EG102" s="141" t="s">
        <v>417</v>
      </c>
      <c r="EH102" s="141" t="s">
        <v>417</v>
      </c>
      <c r="EI102" s="141" t="s">
        <v>417</v>
      </c>
      <c r="EJ102" s="142" t="s">
        <v>417</v>
      </c>
      <c r="EK102" s="180"/>
    </row>
    <row r="103" spans="2:141" x14ac:dyDescent="0.25">
      <c r="B103" s="69" t="str">
        <f>IF(Profession="","",IF(HLOOKUP(Profession,Skills!$DO$3:$EK$126,ROW(D103)-2,FALSE)="","",HLOOKUP(Profession,Skills!$DO$3:$EK$126,ROW(D103)-2,FALSE)))</f>
        <v/>
      </c>
      <c r="C103" s="32"/>
      <c r="D103" s="35" t="s">
        <v>100</v>
      </c>
      <c r="E103" s="35" t="s">
        <v>327</v>
      </c>
      <c r="F103" s="164"/>
      <c r="G103" s="33">
        <f t="shared" ca="1" si="164"/>
        <v>-9</v>
      </c>
      <c r="H103" s="33">
        <f ca="1">SUM(O103:(OFFSET(O103,0,Level)))</f>
        <v>0</v>
      </c>
      <c r="I103" s="33">
        <f t="shared" ca="1" si="134"/>
        <v>-25</v>
      </c>
      <c r="J103" s="33">
        <f t="shared" si="135"/>
        <v>16</v>
      </c>
      <c r="K103" s="33">
        <f t="shared" ca="1" si="131"/>
        <v>0</v>
      </c>
      <c r="L103" s="168"/>
      <c r="M103" s="33" t="str">
        <f t="shared" si="162"/>
        <v>RS/RS/Re</v>
      </c>
      <c r="N103" s="33" t="str">
        <f t="shared" si="163"/>
        <v>20/24</v>
      </c>
      <c r="O103" s="131"/>
      <c r="P103" s="168"/>
      <c r="Q103" s="168"/>
      <c r="R103" s="168"/>
      <c r="S103" s="168"/>
      <c r="T103" s="168"/>
      <c r="U103" s="164"/>
      <c r="V103" s="164"/>
      <c r="W103" s="164"/>
      <c r="X103" s="164"/>
      <c r="Y103" s="164"/>
      <c r="Z103" s="164"/>
      <c r="AA103" s="164"/>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73"/>
      <c r="BO103" s="27" t="str">
        <f t="shared" si="165"/>
        <v>20</v>
      </c>
      <c r="BP103" s="8" t="str">
        <f t="shared" si="166"/>
        <v>24</v>
      </c>
      <c r="BQ103" s="8">
        <f t="shared" si="167"/>
        <v>0</v>
      </c>
      <c r="BR103" s="8">
        <f t="shared" si="168"/>
        <v>0</v>
      </c>
      <c r="BS103" s="8">
        <f t="shared" si="169"/>
        <v>0</v>
      </c>
      <c r="BT103" s="8">
        <f t="shared" si="170"/>
        <v>0</v>
      </c>
      <c r="BU103" s="8">
        <f t="shared" si="171"/>
        <v>0</v>
      </c>
      <c r="BV103" s="8">
        <f t="shared" si="172"/>
        <v>0</v>
      </c>
      <c r="BW103" s="8">
        <f t="shared" si="173"/>
        <v>0</v>
      </c>
      <c r="BX103" s="8">
        <f t="shared" si="174"/>
        <v>0</v>
      </c>
      <c r="BY103" s="8">
        <f t="shared" si="175"/>
        <v>0</v>
      </c>
      <c r="BZ103" s="8">
        <f t="shared" si="176"/>
        <v>0</v>
      </c>
      <c r="CA103" s="8">
        <f t="shared" si="177"/>
        <v>0</v>
      </c>
      <c r="CB103" s="8">
        <f t="shared" si="178"/>
        <v>0</v>
      </c>
      <c r="CC103" s="8">
        <f t="shared" si="179"/>
        <v>0</v>
      </c>
      <c r="CD103" s="8">
        <f t="shared" si="180"/>
        <v>0</v>
      </c>
      <c r="CE103" s="8">
        <f t="shared" si="181"/>
        <v>0</v>
      </c>
      <c r="CF103" s="8">
        <f t="shared" si="182"/>
        <v>0</v>
      </c>
      <c r="CG103" s="8">
        <f t="shared" si="183"/>
        <v>0</v>
      </c>
      <c r="CH103" s="8">
        <f t="shared" si="184"/>
        <v>0</v>
      </c>
      <c r="CI103" s="8">
        <f t="shared" si="185"/>
        <v>0</v>
      </c>
      <c r="CJ103" s="8">
        <f t="shared" si="186"/>
        <v>0</v>
      </c>
      <c r="CK103" s="8">
        <f t="shared" si="186"/>
        <v>0</v>
      </c>
      <c r="CL103" s="8">
        <f t="shared" si="186"/>
        <v>0</v>
      </c>
      <c r="CM103" s="8">
        <f t="shared" si="186"/>
        <v>0</v>
      </c>
      <c r="CN103" s="8">
        <f t="shared" si="186"/>
        <v>0</v>
      </c>
      <c r="CO103" s="8">
        <f t="shared" si="186"/>
        <v>0</v>
      </c>
      <c r="CP103" s="8">
        <f t="shared" si="186"/>
        <v>0</v>
      </c>
      <c r="CQ103" s="8">
        <f t="shared" si="137"/>
        <v>0</v>
      </c>
      <c r="CR103" s="8">
        <f t="shared" si="138"/>
        <v>0</v>
      </c>
      <c r="CS103" s="8">
        <f t="shared" si="139"/>
        <v>0</v>
      </c>
      <c r="CT103" s="8">
        <f t="shared" si="140"/>
        <v>0</v>
      </c>
      <c r="CU103" s="8">
        <f t="shared" si="141"/>
        <v>0</v>
      </c>
      <c r="CV103" s="8">
        <f t="shared" si="142"/>
        <v>0</v>
      </c>
      <c r="CW103" s="8">
        <f t="shared" si="143"/>
        <v>0</v>
      </c>
      <c r="CX103" s="8">
        <f t="shared" si="144"/>
        <v>0</v>
      </c>
      <c r="CY103" s="8">
        <f t="shared" si="145"/>
        <v>0</v>
      </c>
      <c r="CZ103" s="8">
        <f t="shared" si="146"/>
        <v>0</v>
      </c>
      <c r="DA103" s="8">
        <f t="shared" si="147"/>
        <v>0</v>
      </c>
      <c r="DB103" s="8">
        <f t="shared" si="148"/>
        <v>0</v>
      </c>
      <c r="DC103" s="8">
        <f t="shared" si="149"/>
        <v>0</v>
      </c>
      <c r="DD103" s="8">
        <f t="shared" si="150"/>
        <v>0</v>
      </c>
      <c r="DE103" s="8">
        <f t="shared" si="151"/>
        <v>0</v>
      </c>
      <c r="DF103" s="8">
        <f t="shared" si="152"/>
        <v>0</v>
      </c>
      <c r="DG103" s="8">
        <f t="shared" si="153"/>
        <v>0</v>
      </c>
      <c r="DH103" s="8">
        <f t="shared" si="154"/>
        <v>0</v>
      </c>
      <c r="DI103" s="8">
        <f t="shared" si="155"/>
        <v>0</v>
      </c>
      <c r="DJ103" s="8">
        <f t="shared" si="156"/>
        <v>0</v>
      </c>
      <c r="DK103" s="8">
        <f t="shared" si="157"/>
        <v>0</v>
      </c>
      <c r="DL103" s="8">
        <f t="shared" si="158"/>
        <v>0</v>
      </c>
      <c r="DM103" s="8">
        <f t="shared" si="159"/>
        <v>0</v>
      </c>
      <c r="DN103" s="8">
        <f t="shared" si="160"/>
        <v>0</v>
      </c>
      <c r="DO103" s="177"/>
      <c r="DP103" s="141"/>
      <c r="DQ103" s="141"/>
      <c r="DR103" s="141"/>
      <c r="DS103" s="141"/>
      <c r="DT103" s="141"/>
      <c r="DU103" s="141"/>
      <c r="DV103" s="141" t="s">
        <v>417</v>
      </c>
      <c r="DW103" s="141" t="s">
        <v>417</v>
      </c>
      <c r="DX103" s="141" t="s">
        <v>417</v>
      </c>
      <c r="DY103" s="141" t="s">
        <v>417</v>
      </c>
      <c r="DZ103" s="141" t="s">
        <v>417</v>
      </c>
      <c r="EA103" s="141" t="s">
        <v>417</v>
      </c>
      <c r="EB103" s="141" t="s">
        <v>417</v>
      </c>
      <c r="EC103" s="141" t="s">
        <v>417</v>
      </c>
      <c r="ED103" s="141" t="s">
        <v>417</v>
      </c>
      <c r="EE103" s="141" t="s">
        <v>417</v>
      </c>
      <c r="EF103" s="141" t="s">
        <v>417</v>
      </c>
      <c r="EG103" s="141" t="s">
        <v>417</v>
      </c>
      <c r="EH103" s="141" t="s">
        <v>417</v>
      </c>
      <c r="EI103" s="141" t="s">
        <v>417</v>
      </c>
      <c r="EJ103" s="142" t="s">
        <v>417</v>
      </c>
      <c r="EK103" s="180"/>
    </row>
    <row r="104" spans="2:141" x14ac:dyDescent="0.25">
      <c r="B104" s="69"/>
      <c r="C104" s="32" t="s">
        <v>110</v>
      </c>
      <c r="D104" s="35"/>
      <c r="E104" s="35"/>
      <c r="F104" s="52"/>
      <c r="G104" s="33"/>
      <c r="H104" s="33"/>
      <c r="I104" s="33"/>
      <c r="J104" s="33"/>
      <c r="K104" s="33"/>
      <c r="L104" s="33"/>
      <c r="M104" s="33"/>
      <c r="N104" s="33"/>
      <c r="O104" s="51"/>
      <c r="P104" s="174"/>
      <c r="Q104" s="174"/>
      <c r="R104" s="174"/>
      <c r="S104" s="174"/>
      <c r="T104" s="174"/>
      <c r="U104" s="166"/>
      <c r="V104" s="166"/>
      <c r="W104" s="166"/>
      <c r="X104" s="166"/>
      <c r="Y104" s="166"/>
      <c r="Z104" s="166"/>
      <c r="AA104" s="166"/>
      <c r="AB104" s="174"/>
      <c r="AC104" s="174"/>
      <c r="AD104" s="174"/>
      <c r="AE104" s="174"/>
      <c r="AF104" s="174"/>
      <c r="AG104" s="174"/>
      <c r="AH104" s="174"/>
      <c r="AI104" s="174"/>
      <c r="AJ104" s="174"/>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4"/>
      <c r="BJ104" s="174"/>
      <c r="BK104" s="174"/>
      <c r="BL104" s="174"/>
      <c r="BM104" s="175"/>
      <c r="BO104" s="27" t="str">
        <f t="shared" si="165"/>
        <v/>
      </c>
      <c r="BP104" s="8" t="str">
        <f t="shared" si="166"/>
        <v/>
      </c>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169"/>
      <c r="DP104" s="35"/>
      <c r="DQ104" s="35"/>
      <c r="DR104" s="35"/>
      <c r="DS104" s="35"/>
      <c r="DT104" s="35"/>
      <c r="DU104" s="35"/>
      <c r="DV104" s="35"/>
      <c r="DW104" s="35"/>
      <c r="DX104" s="35"/>
      <c r="DY104" s="35"/>
      <c r="DZ104" s="35"/>
      <c r="EA104" s="35"/>
      <c r="EB104" s="35"/>
      <c r="EC104" s="35"/>
      <c r="ED104" s="35"/>
      <c r="EE104" s="35"/>
      <c r="EF104" s="35"/>
      <c r="EG104" s="35"/>
      <c r="EH104" s="35"/>
      <c r="EI104" s="35"/>
      <c r="EJ104" s="35"/>
      <c r="EK104" s="181"/>
    </row>
    <row r="105" spans="2:141" x14ac:dyDescent="0.25">
      <c r="B105" s="69" t="str">
        <f>IF(Profession="","",IF(HLOOKUP(Profession,Skills!$DO$3:$EK$126,ROW(D105)-2,FALSE)="","",HLOOKUP(Profession,Skills!$DO$3:$EK$126,ROW(D105)-2,FALSE)))</f>
        <v>x</v>
      </c>
      <c r="C105" s="32"/>
      <c r="D105" s="35" t="s">
        <v>101</v>
      </c>
      <c r="E105" s="35" t="str">
        <f>D105</f>
        <v>Ambush</v>
      </c>
      <c r="F105" s="164"/>
      <c r="G105" s="33">
        <f ca="1">SUM(I105:L105)</f>
        <v>-25</v>
      </c>
      <c r="H105" s="33">
        <f ca="1">SUM(O105:(OFFSET(O105,0,Level)))</f>
        <v>0</v>
      </c>
      <c r="I105" s="33">
        <f ca="1">IF(Level=0,"",VLOOKUP(H105,RankBonus,2,FALSE))</f>
        <v>-25</v>
      </c>
      <c r="J105" s="33">
        <f>IF(OR(M105="",M105="-"),0,VLOOKUP(MID(M105,1,2),StatBonuses,2,FALSE)+VLOOKUP(MID(M105,4,2),StatBonuses,2,FALSE)+VLOOKUP(MID(M105,7,2),StatBonuses,2,FALSE))</f>
        <v>0</v>
      </c>
      <c r="K105" s="33">
        <f ca="1">IF(Profession="",0,IF(Profession="No Profession",IF(B105="x",H105,0),(VLOOKUP(D105,PBSkills,MATCH(Profession,Professions,0)+2,FALSE)*H105)))</f>
        <v>0</v>
      </c>
      <c r="L105" s="168"/>
      <c r="M105" s="33" t="str">
        <f>IF(D105="","",VLOOKUP(D105,DPCosts,2,FALSE))</f>
        <v>Ag/SD/Qu</v>
      </c>
      <c r="N105" s="33" t="str">
        <f>IF(OR(D105="", Profession=""),"",VLOOKUP(D105,DPCosts,MATCH(Profession,Professions,0)+2,FALSE))</f>
        <v>3/4</v>
      </c>
      <c r="O105" s="131"/>
      <c r="P105" s="168"/>
      <c r="Q105" s="168"/>
      <c r="R105" s="168"/>
      <c r="S105" s="168"/>
      <c r="T105" s="168"/>
      <c r="U105" s="164"/>
      <c r="V105" s="164"/>
      <c r="W105" s="164"/>
      <c r="X105" s="164"/>
      <c r="Y105" s="164"/>
      <c r="Z105" s="164"/>
      <c r="AA105" s="164"/>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c r="BA105" s="168"/>
      <c r="BB105" s="168"/>
      <c r="BC105" s="168"/>
      <c r="BD105" s="168"/>
      <c r="BE105" s="168"/>
      <c r="BF105" s="168"/>
      <c r="BG105" s="168"/>
      <c r="BH105" s="168"/>
      <c r="BI105" s="168"/>
      <c r="BJ105" s="168"/>
      <c r="BK105" s="168"/>
      <c r="BL105" s="168"/>
      <c r="BM105" s="173"/>
      <c r="BO105" s="27" t="str">
        <f t="shared" si="165"/>
        <v>3</v>
      </c>
      <c r="BP105" s="8" t="str">
        <f t="shared" si="166"/>
        <v>4</v>
      </c>
      <c r="BQ105" s="8">
        <f t="shared" si="167"/>
        <v>0</v>
      </c>
      <c r="BR105" s="8">
        <f t="shared" si="168"/>
        <v>0</v>
      </c>
      <c r="BS105" s="8">
        <f t="shared" si="169"/>
        <v>0</v>
      </c>
      <c r="BT105" s="8">
        <f t="shared" si="170"/>
        <v>0</v>
      </c>
      <c r="BU105" s="8">
        <f t="shared" si="171"/>
        <v>0</v>
      </c>
      <c r="BV105" s="8">
        <f t="shared" si="172"/>
        <v>0</v>
      </c>
      <c r="BW105" s="8">
        <f t="shared" si="173"/>
        <v>0</v>
      </c>
      <c r="BX105" s="8">
        <f t="shared" si="174"/>
        <v>0</v>
      </c>
      <c r="BY105" s="8">
        <f t="shared" si="175"/>
        <v>0</v>
      </c>
      <c r="BZ105" s="8">
        <f t="shared" si="176"/>
        <v>0</v>
      </c>
      <c r="CA105" s="8">
        <f t="shared" si="177"/>
        <v>0</v>
      </c>
      <c r="CB105" s="8">
        <f t="shared" si="178"/>
        <v>0</v>
      </c>
      <c r="CC105" s="8">
        <f t="shared" si="179"/>
        <v>0</v>
      </c>
      <c r="CD105" s="8">
        <f t="shared" si="180"/>
        <v>0</v>
      </c>
      <c r="CE105" s="8">
        <f t="shared" si="181"/>
        <v>0</v>
      </c>
      <c r="CF105" s="8">
        <f t="shared" si="182"/>
        <v>0</v>
      </c>
      <c r="CG105" s="8">
        <f t="shared" si="183"/>
        <v>0</v>
      </c>
      <c r="CH105" s="8">
        <f t="shared" si="184"/>
        <v>0</v>
      </c>
      <c r="CI105" s="8">
        <f t="shared" si="185"/>
        <v>0</v>
      </c>
      <c r="CJ105" s="8">
        <f t="shared" ref="CJ105:DN105" si="188">IF(AI105=0,0,IF(AI105=1,INT($BO105),$BO105+$BP105*(AI105-1)))</f>
        <v>0</v>
      </c>
      <c r="CK105" s="8">
        <f t="shared" si="188"/>
        <v>0</v>
      </c>
      <c r="CL105" s="8">
        <f t="shared" si="188"/>
        <v>0</v>
      </c>
      <c r="CM105" s="8">
        <f t="shared" si="188"/>
        <v>0</v>
      </c>
      <c r="CN105" s="8">
        <f t="shared" si="188"/>
        <v>0</v>
      </c>
      <c r="CO105" s="8">
        <f t="shared" si="188"/>
        <v>0</v>
      </c>
      <c r="CP105" s="8">
        <f t="shared" si="188"/>
        <v>0</v>
      </c>
      <c r="CQ105" s="8">
        <f t="shared" si="188"/>
        <v>0</v>
      </c>
      <c r="CR105" s="8">
        <f t="shared" si="188"/>
        <v>0</v>
      </c>
      <c r="CS105" s="8">
        <f t="shared" si="188"/>
        <v>0</v>
      </c>
      <c r="CT105" s="8">
        <f t="shared" si="188"/>
        <v>0</v>
      </c>
      <c r="CU105" s="8">
        <f t="shared" si="188"/>
        <v>0</v>
      </c>
      <c r="CV105" s="8">
        <f t="shared" si="188"/>
        <v>0</v>
      </c>
      <c r="CW105" s="8">
        <f t="shared" si="188"/>
        <v>0</v>
      </c>
      <c r="CX105" s="8">
        <f t="shared" si="188"/>
        <v>0</v>
      </c>
      <c r="CY105" s="8">
        <f t="shared" si="188"/>
        <v>0</v>
      </c>
      <c r="CZ105" s="8">
        <f t="shared" si="188"/>
        <v>0</v>
      </c>
      <c r="DA105" s="8">
        <f t="shared" si="188"/>
        <v>0</v>
      </c>
      <c r="DB105" s="8">
        <f t="shared" si="188"/>
        <v>0</v>
      </c>
      <c r="DC105" s="8">
        <f t="shared" si="188"/>
        <v>0</v>
      </c>
      <c r="DD105" s="8">
        <f t="shared" si="188"/>
        <v>0</v>
      </c>
      <c r="DE105" s="8">
        <f t="shared" si="188"/>
        <v>0</v>
      </c>
      <c r="DF105" s="8">
        <f t="shared" si="188"/>
        <v>0</v>
      </c>
      <c r="DG105" s="8">
        <f t="shared" si="188"/>
        <v>0</v>
      </c>
      <c r="DH105" s="8">
        <f t="shared" si="188"/>
        <v>0</v>
      </c>
      <c r="DI105" s="8">
        <f t="shared" si="188"/>
        <v>0</v>
      </c>
      <c r="DJ105" s="8">
        <f t="shared" si="188"/>
        <v>0</v>
      </c>
      <c r="DK105" s="8">
        <f t="shared" si="188"/>
        <v>0</v>
      </c>
      <c r="DL105" s="8">
        <f t="shared" si="188"/>
        <v>0</v>
      </c>
      <c r="DM105" s="8">
        <f t="shared" si="188"/>
        <v>0</v>
      </c>
      <c r="DN105" s="8">
        <f t="shared" si="188"/>
        <v>0</v>
      </c>
      <c r="DO105" s="177"/>
      <c r="DP105" s="141" t="s">
        <v>417</v>
      </c>
      <c r="DQ105" s="141" t="s">
        <v>417</v>
      </c>
      <c r="DR105" s="141" t="s">
        <v>417</v>
      </c>
      <c r="DS105" s="141"/>
      <c r="DT105" s="141"/>
      <c r="DU105" s="141"/>
      <c r="DV105" s="141"/>
      <c r="DW105" s="141"/>
      <c r="DX105" s="141"/>
      <c r="DY105" s="141" t="s">
        <v>417</v>
      </c>
      <c r="DZ105" s="141"/>
      <c r="EA105" s="141"/>
      <c r="EB105" s="141"/>
      <c r="EC105" s="141"/>
      <c r="ED105" s="141"/>
      <c r="EE105" s="141"/>
      <c r="EF105" s="141"/>
      <c r="EG105" s="141"/>
      <c r="EH105" s="141"/>
      <c r="EI105" s="141"/>
      <c r="EJ105" s="142"/>
      <c r="EK105" s="180"/>
    </row>
    <row r="106" spans="2:141" ht="15.75" thickBot="1" x14ac:dyDescent="0.3">
      <c r="B106" s="69" t="str">
        <f>IF(Profession="","",IF(HLOOKUP(Profession,Skills!$DO$3:$EK$126,ROW(D106)-2,FALSE)="","",HLOOKUP(Profession,Skills!$DO$3:$EK$126,ROW(D106)-2,FALSE)))</f>
        <v>x</v>
      </c>
      <c r="C106" s="32"/>
      <c r="D106" s="35" t="s">
        <v>101</v>
      </c>
      <c r="E106" s="35" t="str">
        <f>D106</f>
        <v>Ambush</v>
      </c>
      <c r="F106" s="164"/>
      <c r="G106" s="33">
        <f t="shared" ca="1" si="164"/>
        <v>-25</v>
      </c>
      <c r="H106" s="33">
        <f ca="1">SUM(O106:(OFFSET(O106,0,Level)))</f>
        <v>0</v>
      </c>
      <c r="I106" s="33">
        <f ca="1">IF(Level=0,"",VLOOKUP(H106,RankBonus,2,FALSE))</f>
        <v>-25</v>
      </c>
      <c r="J106" s="33">
        <f t="shared" ref="J106:J126" si="189">IF(OR(M106="",M106="-"),0,VLOOKUP(MID(M106,1,2),StatBonuses,2,FALSE)+VLOOKUP(MID(M106,4,2),StatBonuses,2,FALSE)+VLOOKUP(MID(M106,7,2),StatBonuses,2,FALSE))</f>
        <v>0</v>
      </c>
      <c r="K106" s="33">
        <f ca="1">IF(Profession="",0,IF(Profession="No Profession",IF(B106="x",H106,0),(VLOOKUP(D106,PBSkills,MATCH(Profession,Professions,0)+2,FALSE)*H106)))</f>
        <v>0</v>
      </c>
      <c r="L106" s="168"/>
      <c r="M106" s="33" t="str">
        <f t="shared" si="162"/>
        <v>Ag/SD/Qu</v>
      </c>
      <c r="N106" s="33" t="str">
        <f t="shared" si="163"/>
        <v>3/4</v>
      </c>
      <c r="O106" s="131"/>
      <c r="P106" s="168"/>
      <c r="Q106" s="168"/>
      <c r="R106" s="168"/>
      <c r="S106" s="168"/>
      <c r="T106" s="168"/>
      <c r="U106" s="164"/>
      <c r="V106" s="164"/>
      <c r="W106" s="164"/>
      <c r="X106" s="164"/>
      <c r="Y106" s="164"/>
      <c r="Z106" s="164"/>
      <c r="AA106" s="164"/>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c r="BA106" s="168"/>
      <c r="BB106" s="168"/>
      <c r="BC106" s="168"/>
      <c r="BD106" s="168"/>
      <c r="BE106" s="168"/>
      <c r="BF106" s="168"/>
      <c r="BG106" s="168"/>
      <c r="BH106" s="168"/>
      <c r="BI106" s="168"/>
      <c r="BJ106" s="168"/>
      <c r="BK106" s="168"/>
      <c r="BL106" s="168"/>
      <c r="BM106" s="173"/>
      <c r="BO106" s="27" t="str">
        <f t="shared" si="165"/>
        <v>3</v>
      </c>
      <c r="BP106" s="8" t="str">
        <f t="shared" si="166"/>
        <v>4</v>
      </c>
      <c r="BQ106" s="8">
        <f t="shared" si="167"/>
        <v>0</v>
      </c>
      <c r="BR106" s="8">
        <f t="shared" si="168"/>
        <v>0</v>
      </c>
      <c r="BS106" s="8">
        <f t="shared" si="169"/>
        <v>0</v>
      </c>
      <c r="BT106" s="8">
        <f t="shared" si="170"/>
        <v>0</v>
      </c>
      <c r="BU106" s="8">
        <f t="shared" si="171"/>
        <v>0</v>
      </c>
      <c r="BV106" s="8">
        <f t="shared" si="172"/>
        <v>0</v>
      </c>
      <c r="BW106" s="8">
        <f t="shared" si="173"/>
        <v>0</v>
      </c>
      <c r="BX106" s="8">
        <f t="shared" si="174"/>
        <v>0</v>
      </c>
      <c r="BY106" s="8">
        <f t="shared" si="175"/>
        <v>0</v>
      </c>
      <c r="BZ106" s="8">
        <f t="shared" si="176"/>
        <v>0</v>
      </c>
      <c r="CA106" s="8">
        <f t="shared" si="177"/>
        <v>0</v>
      </c>
      <c r="CB106" s="8">
        <f t="shared" si="178"/>
        <v>0</v>
      </c>
      <c r="CC106" s="8">
        <f t="shared" si="179"/>
        <v>0</v>
      </c>
      <c r="CD106" s="8">
        <f t="shared" si="180"/>
        <v>0</v>
      </c>
      <c r="CE106" s="8">
        <f t="shared" si="181"/>
        <v>0</v>
      </c>
      <c r="CF106" s="8">
        <f t="shared" si="182"/>
        <v>0</v>
      </c>
      <c r="CG106" s="8">
        <f t="shared" si="183"/>
        <v>0</v>
      </c>
      <c r="CH106" s="8">
        <f t="shared" si="184"/>
        <v>0</v>
      </c>
      <c r="CI106" s="8">
        <f t="shared" si="185"/>
        <v>0</v>
      </c>
      <c r="CJ106" s="8">
        <f t="shared" si="186"/>
        <v>0</v>
      </c>
      <c r="CK106" s="8">
        <f t="shared" si="186"/>
        <v>0</v>
      </c>
      <c r="CL106" s="8">
        <f t="shared" si="186"/>
        <v>0</v>
      </c>
      <c r="CM106" s="8">
        <f t="shared" si="186"/>
        <v>0</v>
      </c>
      <c r="CN106" s="8">
        <f t="shared" si="186"/>
        <v>0</v>
      </c>
      <c r="CO106" s="8">
        <f t="shared" si="186"/>
        <v>0</v>
      </c>
      <c r="CP106" s="8">
        <f t="shared" si="186"/>
        <v>0</v>
      </c>
      <c r="CQ106" s="8">
        <f t="shared" si="137"/>
        <v>0</v>
      </c>
      <c r="CR106" s="8">
        <f t="shared" si="138"/>
        <v>0</v>
      </c>
      <c r="CS106" s="8">
        <f t="shared" si="139"/>
        <v>0</v>
      </c>
      <c r="CT106" s="8">
        <f t="shared" si="140"/>
        <v>0</v>
      </c>
      <c r="CU106" s="8">
        <f t="shared" si="141"/>
        <v>0</v>
      </c>
      <c r="CV106" s="8">
        <f t="shared" si="142"/>
        <v>0</v>
      </c>
      <c r="CW106" s="8">
        <f t="shared" si="143"/>
        <v>0</v>
      </c>
      <c r="CX106" s="8">
        <f t="shared" si="144"/>
        <v>0</v>
      </c>
      <c r="CY106" s="8">
        <f t="shared" si="145"/>
        <v>0</v>
      </c>
      <c r="CZ106" s="8">
        <f t="shared" si="146"/>
        <v>0</v>
      </c>
      <c r="DA106" s="8">
        <f t="shared" si="147"/>
        <v>0</v>
      </c>
      <c r="DB106" s="8">
        <f t="shared" si="148"/>
        <v>0</v>
      </c>
      <c r="DC106" s="8">
        <f t="shared" si="149"/>
        <v>0</v>
      </c>
      <c r="DD106" s="8">
        <f t="shared" si="150"/>
        <v>0</v>
      </c>
      <c r="DE106" s="8">
        <f t="shared" si="151"/>
        <v>0</v>
      </c>
      <c r="DF106" s="8">
        <f t="shared" si="152"/>
        <v>0</v>
      </c>
      <c r="DG106" s="8">
        <f t="shared" si="153"/>
        <v>0</v>
      </c>
      <c r="DH106" s="8">
        <f t="shared" si="154"/>
        <v>0</v>
      </c>
      <c r="DI106" s="8">
        <f t="shared" si="155"/>
        <v>0</v>
      </c>
      <c r="DJ106" s="8">
        <f t="shared" si="156"/>
        <v>0</v>
      </c>
      <c r="DK106" s="8">
        <f t="shared" si="157"/>
        <v>0</v>
      </c>
      <c r="DL106" s="8">
        <f t="shared" si="158"/>
        <v>0</v>
      </c>
      <c r="DM106" s="8">
        <f t="shared" si="159"/>
        <v>0</v>
      </c>
      <c r="DN106" s="8">
        <f t="shared" si="160"/>
        <v>0</v>
      </c>
      <c r="DO106" s="177"/>
      <c r="DP106" s="141" t="s">
        <v>417</v>
      </c>
      <c r="DQ106" s="141" t="s">
        <v>417</v>
      </c>
      <c r="DR106" s="141" t="s">
        <v>417</v>
      </c>
      <c r="DS106" s="141"/>
      <c r="DT106" s="141"/>
      <c r="DU106" s="141"/>
      <c r="DV106" s="141"/>
      <c r="DW106" s="141"/>
      <c r="DX106" s="141"/>
      <c r="DY106" s="141" t="s">
        <v>417</v>
      </c>
      <c r="DZ106" s="141"/>
      <c r="EA106" s="141"/>
      <c r="EB106" s="141"/>
      <c r="EC106" s="141"/>
      <c r="ED106" s="141"/>
      <c r="EE106" s="141"/>
      <c r="EF106" s="141"/>
      <c r="EG106" s="141"/>
      <c r="EH106" s="141"/>
      <c r="EI106" s="141"/>
      <c r="EJ106" s="142"/>
      <c r="EK106" s="180"/>
    </row>
    <row r="107" spans="2:141" ht="15.75" thickBot="1" x14ac:dyDescent="0.3">
      <c r="B107" s="69" t="str">
        <f>IF(Profession="","",IF(HLOOKUP(Profession,Skills!$DO$3:$EK$126,ROW(D107)-2,FALSE)="","",HLOOKUP(Profession,Skills!$DO$3:$EK$126,ROW(D107)-2,FALSE)))</f>
        <v>x</v>
      </c>
      <c r="C107" s="32"/>
      <c r="D107" s="35" t="s">
        <v>102</v>
      </c>
      <c r="E107" s="35" t="str">
        <f>D107</f>
        <v>Stalk/Hide*</v>
      </c>
      <c r="F107" s="52"/>
      <c r="G107" s="313">
        <f ca="1">SUM(I107:L107)+BN107</f>
        <v>-25</v>
      </c>
      <c r="H107" s="33">
        <f ca="1">SUM(O107:(OFFSET(O107,0,Level)))</f>
        <v>0</v>
      </c>
      <c r="I107" s="33">
        <f ca="1">IF(Level=0,"",VLOOKUP(H107,RankBonus,2,FALSE))</f>
        <v>-25</v>
      </c>
      <c r="J107" s="33">
        <f t="shared" si="189"/>
        <v>0</v>
      </c>
      <c r="K107" s="33">
        <f ca="1">IF(Profession="",0,IF(Profession="No Profession",IF(B107="x",H107,0),(VLOOKUP(D107,PBSkills,MATCH(Profession,Professions,0)+2,FALSE)*H107)))</f>
        <v>0</v>
      </c>
      <c r="L107" s="168"/>
      <c r="M107" s="33" t="str">
        <f t="shared" si="162"/>
        <v>Ag/SD/In</v>
      </c>
      <c r="N107" s="33" t="str">
        <f t="shared" si="163"/>
        <v>2/4</v>
      </c>
      <c r="O107" s="131" t="str">
        <f>IF(OR(D107="",Culture=""),"",VLOOKUP(D107,CultureRanks,MATCH(Culture,CultureList,0)+1,FALSE))</f>
        <v/>
      </c>
      <c r="P107" s="168"/>
      <c r="Q107" s="168"/>
      <c r="R107" s="168"/>
      <c r="S107" s="168"/>
      <c r="T107" s="168"/>
      <c r="U107" s="164"/>
      <c r="V107" s="164"/>
      <c r="W107" s="164"/>
      <c r="X107" s="164"/>
      <c r="Y107" s="164"/>
      <c r="Z107" s="164"/>
      <c r="AA107" s="164"/>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8"/>
      <c r="BB107" s="168"/>
      <c r="BC107" s="168"/>
      <c r="BD107" s="168"/>
      <c r="BE107" s="168"/>
      <c r="BF107" s="168"/>
      <c r="BG107" s="168"/>
      <c r="BH107" s="168"/>
      <c r="BI107" s="168"/>
      <c r="BJ107" s="168"/>
      <c r="BK107" s="168"/>
      <c r="BL107" s="168"/>
      <c r="BM107" s="173"/>
      <c r="BN107" s="114">
        <f ca="1">Character!P14</f>
        <v>0</v>
      </c>
      <c r="BO107" s="27" t="str">
        <f t="shared" si="165"/>
        <v>2</v>
      </c>
      <c r="BP107" s="8" t="str">
        <f t="shared" si="166"/>
        <v>4</v>
      </c>
      <c r="BQ107" s="8">
        <f t="shared" si="167"/>
        <v>0</v>
      </c>
      <c r="BR107" s="8">
        <f t="shared" si="168"/>
        <v>0</v>
      </c>
      <c r="BS107" s="8">
        <f t="shared" si="169"/>
        <v>0</v>
      </c>
      <c r="BT107" s="8">
        <f t="shared" si="170"/>
        <v>0</v>
      </c>
      <c r="BU107" s="8">
        <f t="shared" si="171"/>
        <v>0</v>
      </c>
      <c r="BV107" s="8">
        <f t="shared" si="172"/>
        <v>0</v>
      </c>
      <c r="BW107" s="8">
        <f t="shared" si="173"/>
        <v>0</v>
      </c>
      <c r="BX107" s="8">
        <f t="shared" si="174"/>
        <v>0</v>
      </c>
      <c r="BY107" s="8">
        <f t="shared" si="175"/>
        <v>0</v>
      </c>
      <c r="BZ107" s="8">
        <f t="shared" si="176"/>
        <v>0</v>
      </c>
      <c r="CA107" s="8">
        <f t="shared" si="177"/>
        <v>0</v>
      </c>
      <c r="CB107" s="8">
        <f t="shared" si="178"/>
        <v>0</v>
      </c>
      <c r="CC107" s="8">
        <f t="shared" si="179"/>
        <v>0</v>
      </c>
      <c r="CD107" s="8">
        <f t="shared" si="180"/>
        <v>0</v>
      </c>
      <c r="CE107" s="8">
        <f t="shared" si="181"/>
        <v>0</v>
      </c>
      <c r="CF107" s="8">
        <f t="shared" si="182"/>
        <v>0</v>
      </c>
      <c r="CG107" s="8">
        <f t="shared" si="183"/>
        <v>0</v>
      </c>
      <c r="CH107" s="8">
        <f t="shared" si="184"/>
        <v>0</v>
      </c>
      <c r="CI107" s="8">
        <f t="shared" si="185"/>
        <v>0</v>
      </c>
      <c r="CJ107" s="8">
        <f t="shared" si="186"/>
        <v>0</v>
      </c>
      <c r="CK107" s="8">
        <f t="shared" si="186"/>
        <v>0</v>
      </c>
      <c r="CL107" s="8">
        <f t="shared" si="186"/>
        <v>0</v>
      </c>
      <c r="CM107" s="8">
        <f t="shared" si="186"/>
        <v>0</v>
      </c>
      <c r="CN107" s="8">
        <f t="shared" si="186"/>
        <v>0</v>
      </c>
      <c r="CO107" s="8">
        <f t="shared" si="186"/>
        <v>0</v>
      </c>
      <c r="CP107" s="8">
        <f t="shared" si="186"/>
        <v>0</v>
      </c>
      <c r="CQ107" s="8">
        <f t="shared" si="137"/>
        <v>0</v>
      </c>
      <c r="CR107" s="8">
        <f t="shared" si="138"/>
        <v>0</v>
      </c>
      <c r="CS107" s="8">
        <f t="shared" si="139"/>
        <v>0</v>
      </c>
      <c r="CT107" s="8">
        <f t="shared" si="140"/>
        <v>0</v>
      </c>
      <c r="CU107" s="8">
        <f t="shared" si="141"/>
        <v>0</v>
      </c>
      <c r="CV107" s="8">
        <f t="shared" si="142"/>
        <v>0</v>
      </c>
      <c r="CW107" s="8">
        <f t="shared" si="143"/>
        <v>0</v>
      </c>
      <c r="CX107" s="8">
        <f t="shared" si="144"/>
        <v>0</v>
      </c>
      <c r="CY107" s="8">
        <f t="shared" si="145"/>
        <v>0</v>
      </c>
      <c r="CZ107" s="8">
        <f t="shared" si="146"/>
        <v>0</v>
      </c>
      <c r="DA107" s="8">
        <f t="shared" si="147"/>
        <v>0</v>
      </c>
      <c r="DB107" s="8">
        <f t="shared" si="148"/>
        <v>0</v>
      </c>
      <c r="DC107" s="8">
        <f t="shared" si="149"/>
        <v>0</v>
      </c>
      <c r="DD107" s="8">
        <f t="shared" si="150"/>
        <v>0</v>
      </c>
      <c r="DE107" s="8">
        <f t="shared" si="151"/>
        <v>0</v>
      </c>
      <c r="DF107" s="8">
        <f t="shared" si="152"/>
        <v>0</v>
      </c>
      <c r="DG107" s="8">
        <f t="shared" si="153"/>
        <v>0</v>
      </c>
      <c r="DH107" s="8">
        <f t="shared" si="154"/>
        <v>0</v>
      </c>
      <c r="DI107" s="8">
        <f t="shared" si="155"/>
        <v>0</v>
      </c>
      <c r="DJ107" s="8">
        <f t="shared" si="156"/>
        <v>0</v>
      </c>
      <c r="DK107" s="8">
        <f t="shared" si="157"/>
        <v>0</v>
      </c>
      <c r="DL107" s="8">
        <f t="shared" si="158"/>
        <v>0</v>
      </c>
      <c r="DM107" s="8">
        <f t="shared" si="159"/>
        <v>0</v>
      </c>
      <c r="DN107" s="8">
        <f t="shared" si="160"/>
        <v>0</v>
      </c>
      <c r="DO107" s="177"/>
      <c r="DP107" s="141" t="s">
        <v>417</v>
      </c>
      <c r="DQ107" s="141" t="s">
        <v>417</v>
      </c>
      <c r="DR107" s="141" t="s">
        <v>417</v>
      </c>
      <c r="DS107" s="141" t="s">
        <v>417</v>
      </c>
      <c r="DT107" s="141"/>
      <c r="DU107" s="141"/>
      <c r="DV107" s="141"/>
      <c r="DW107" s="141"/>
      <c r="DX107" s="141"/>
      <c r="DY107" s="141" t="s">
        <v>417</v>
      </c>
      <c r="DZ107" s="141"/>
      <c r="EA107" s="141" t="s">
        <v>417</v>
      </c>
      <c r="EB107" s="141"/>
      <c r="EC107" s="141"/>
      <c r="ED107" s="141"/>
      <c r="EE107" s="141"/>
      <c r="EF107" s="141"/>
      <c r="EG107" s="141"/>
      <c r="EH107" s="141"/>
      <c r="EI107" s="141" t="s">
        <v>417</v>
      </c>
      <c r="EJ107" s="142"/>
      <c r="EK107" s="180"/>
    </row>
    <row r="108" spans="2:141" x14ac:dyDescent="0.25">
      <c r="B108" s="69" t="str">
        <f>IF(Profession="","",IF(HLOOKUP(Profession,Skills!$DO$3:$EK$126,ROW(D108)-2,FALSE)="","",HLOOKUP(Profession,Skills!$DO$3:$EK$126,ROW(D108)-2,FALSE)))</f>
        <v/>
      </c>
      <c r="C108" s="32"/>
      <c r="D108" s="35" t="s">
        <v>103</v>
      </c>
      <c r="E108" s="35" t="str">
        <f>D108</f>
        <v>Trickery</v>
      </c>
      <c r="F108" s="164"/>
      <c r="G108" s="33">
        <f t="shared" ca="1" si="164"/>
        <v>-25</v>
      </c>
      <c r="H108" s="33">
        <f ca="1">SUM(O108:(OFFSET(O108,0,Level)))</f>
        <v>0</v>
      </c>
      <c r="I108" s="33">
        <f ca="1">IF(Level=0,"",VLOOKUP(H108,RankBonus,2,FALSE))</f>
        <v>-25</v>
      </c>
      <c r="J108" s="33">
        <f>IF(OR(M108="",M108="-"),0,VLOOKUP(MID(M108,1,2),StatBonuses,2,FALSE)+VLOOKUP(MID(M108,4,2),StatBonuses,2,FALSE)+VLOOKUP(MID(M108,7,2),StatBonuses,2,FALSE))</f>
        <v>0</v>
      </c>
      <c r="K108" s="33">
        <f ca="1">IF(Profession="",0,IF(Profession="No Profession",IF(B108="x",H108,0),(VLOOKUP(D108,PBSkills,MATCH(Profession,Professions,0)+2,FALSE)*H108)))</f>
        <v>0</v>
      </c>
      <c r="L108" s="168"/>
      <c r="M108" s="33" t="str">
        <f>IF(D108="","",VLOOKUP(D108,DPCosts,2,FALSE))</f>
        <v>Ag/In/Pr</v>
      </c>
      <c r="N108" s="33" t="str">
        <f>IF(OR(D108="", Profession=""),"",VLOOKUP(D108,DPCosts,MATCH(Profession,Professions,0)+2,FALSE))</f>
        <v>2/3</v>
      </c>
      <c r="O108" s="131"/>
      <c r="P108" s="168"/>
      <c r="Q108" s="168"/>
      <c r="R108" s="168"/>
      <c r="S108" s="168"/>
      <c r="T108" s="168"/>
      <c r="U108" s="164"/>
      <c r="V108" s="164"/>
      <c r="W108" s="164"/>
      <c r="X108" s="164"/>
      <c r="Y108" s="164"/>
      <c r="Z108" s="164"/>
      <c r="AA108" s="164"/>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c r="BA108" s="168"/>
      <c r="BB108" s="168"/>
      <c r="BC108" s="168"/>
      <c r="BD108" s="168"/>
      <c r="BE108" s="168"/>
      <c r="BF108" s="168"/>
      <c r="BG108" s="168"/>
      <c r="BH108" s="168"/>
      <c r="BI108" s="168"/>
      <c r="BJ108" s="168"/>
      <c r="BK108" s="168"/>
      <c r="BL108" s="168"/>
      <c r="BM108" s="173"/>
      <c r="BO108" s="27" t="str">
        <f t="shared" si="165"/>
        <v>2</v>
      </c>
      <c r="BP108" s="8" t="str">
        <f t="shared" si="166"/>
        <v>3</v>
      </c>
      <c r="BQ108" s="8">
        <f t="shared" si="167"/>
        <v>0</v>
      </c>
      <c r="BR108" s="8">
        <f t="shared" si="168"/>
        <v>0</v>
      </c>
      <c r="BS108" s="8">
        <f t="shared" si="169"/>
        <v>0</v>
      </c>
      <c r="BT108" s="8">
        <f t="shared" si="170"/>
        <v>0</v>
      </c>
      <c r="BU108" s="8">
        <f t="shared" si="171"/>
        <v>0</v>
      </c>
      <c r="BV108" s="8">
        <f t="shared" si="172"/>
        <v>0</v>
      </c>
      <c r="BW108" s="8">
        <f t="shared" si="173"/>
        <v>0</v>
      </c>
      <c r="BX108" s="8">
        <f t="shared" si="174"/>
        <v>0</v>
      </c>
      <c r="BY108" s="8">
        <f t="shared" si="175"/>
        <v>0</v>
      </c>
      <c r="BZ108" s="8">
        <f t="shared" si="176"/>
        <v>0</v>
      </c>
      <c r="CA108" s="8">
        <f t="shared" si="177"/>
        <v>0</v>
      </c>
      <c r="CB108" s="8">
        <f t="shared" si="178"/>
        <v>0</v>
      </c>
      <c r="CC108" s="8">
        <f t="shared" si="179"/>
        <v>0</v>
      </c>
      <c r="CD108" s="8">
        <f t="shared" si="180"/>
        <v>0</v>
      </c>
      <c r="CE108" s="8">
        <f t="shared" si="181"/>
        <v>0</v>
      </c>
      <c r="CF108" s="8">
        <f t="shared" si="182"/>
        <v>0</v>
      </c>
      <c r="CG108" s="8">
        <f t="shared" si="183"/>
        <v>0</v>
      </c>
      <c r="CH108" s="8">
        <f t="shared" si="184"/>
        <v>0</v>
      </c>
      <c r="CI108" s="8">
        <f t="shared" si="185"/>
        <v>0</v>
      </c>
      <c r="CJ108" s="8">
        <f t="shared" si="186"/>
        <v>0</v>
      </c>
      <c r="CK108" s="8">
        <f t="shared" si="186"/>
        <v>0</v>
      </c>
      <c r="CL108" s="8">
        <f t="shared" si="186"/>
        <v>0</v>
      </c>
      <c r="CM108" s="8">
        <f t="shared" si="186"/>
        <v>0</v>
      </c>
      <c r="CN108" s="8">
        <f t="shared" si="186"/>
        <v>0</v>
      </c>
      <c r="CO108" s="8">
        <f t="shared" si="186"/>
        <v>0</v>
      </c>
      <c r="CP108" s="8">
        <f t="shared" si="186"/>
        <v>0</v>
      </c>
      <c r="CQ108" s="8">
        <f t="shared" si="137"/>
        <v>0</v>
      </c>
      <c r="CR108" s="8">
        <f t="shared" si="138"/>
        <v>0</v>
      </c>
      <c r="CS108" s="8">
        <f t="shared" si="139"/>
        <v>0</v>
      </c>
      <c r="CT108" s="8">
        <f t="shared" si="140"/>
        <v>0</v>
      </c>
      <c r="CU108" s="8">
        <f t="shared" si="141"/>
        <v>0</v>
      </c>
      <c r="CV108" s="8">
        <f t="shared" si="142"/>
        <v>0</v>
      </c>
      <c r="CW108" s="8">
        <f t="shared" si="143"/>
        <v>0</v>
      </c>
      <c r="CX108" s="8">
        <f t="shared" si="144"/>
        <v>0</v>
      </c>
      <c r="CY108" s="8">
        <f t="shared" si="145"/>
        <v>0</v>
      </c>
      <c r="CZ108" s="8">
        <f t="shared" si="146"/>
        <v>0</v>
      </c>
      <c r="DA108" s="8">
        <f t="shared" si="147"/>
        <v>0</v>
      </c>
      <c r="DB108" s="8">
        <f t="shared" si="148"/>
        <v>0</v>
      </c>
      <c r="DC108" s="8">
        <f t="shared" si="149"/>
        <v>0</v>
      </c>
      <c r="DD108" s="8">
        <f t="shared" si="150"/>
        <v>0</v>
      </c>
      <c r="DE108" s="8">
        <f t="shared" si="151"/>
        <v>0</v>
      </c>
      <c r="DF108" s="8">
        <f t="shared" si="152"/>
        <v>0</v>
      </c>
      <c r="DG108" s="8">
        <f t="shared" si="153"/>
        <v>0</v>
      </c>
      <c r="DH108" s="8">
        <f t="shared" si="154"/>
        <v>0</v>
      </c>
      <c r="DI108" s="8">
        <f t="shared" si="155"/>
        <v>0</v>
      </c>
      <c r="DJ108" s="8">
        <f t="shared" si="156"/>
        <v>0</v>
      </c>
      <c r="DK108" s="8">
        <f t="shared" si="157"/>
        <v>0</v>
      </c>
      <c r="DL108" s="8">
        <f t="shared" si="158"/>
        <v>0</v>
      </c>
      <c r="DM108" s="8">
        <f t="shared" si="159"/>
        <v>0</v>
      </c>
      <c r="DN108" s="8">
        <f t="shared" si="160"/>
        <v>0</v>
      </c>
      <c r="DO108" s="177"/>
      <c r="DP108" s="141"/>
      <c r="DQ108" s="141"/>
      <c r="DR108" s="141" t="s">
        <v>417</v>
      </c>
      <c r="DS108" s="141"/>
      <c r="DT108" s="141"/>
      <c r="DU108" s="141"/>
      <c r="DV108" s="141"/>
      <c r="DW108" s="141"/>
      <c r="DX108" s="141"/>
      <c r="DY108" s="141" t="s">
        <v>417</v>
      </c>
      <c r="DZ108" s="141"/>
      <c r="EA108" s="141" t="s">
        <v>417</v>
      </c>
      <c r="EB108" s="141"/>
      <c r="EC108" s="141"/>
      <c r="ED108" s="141"/>
      <c r="EE108" s="141" t="s">
        <v>417</v>
      </c>
      <c r="EF108" s="141"/>
      <c r="EG108" s="141"/>
      <c r="EH108" s="141"/>
      <c r="EI108" s="141" t="s">
        <v>417</v>
      </c>
      <c r="EJ108" s="142"/>
      <c r="EK108" s="180"/>
    </row>
    <row r="109" spans="2:141" x14ac:dyDescent="0.25">
      <c r="B109" s="69" t="str">
        <f>IF(Profession="","",IF(HLOOKUP(Profession,Skills!$DO$3:$EK$126,ROW(D109)-2,FALSE)="","",HLOOKUP(Profession,Skills!$DO$3:$EK$126,ROW(D109)-2,FALSE)))</f>
        <v/>
      </c>
      <c r="C109" s="32"/>
      <c r="D109" s="35" t="s">
        <v>103</v>
      </c>
      <c r="E109" s="35" t="str">
        <f>D109</f>
        <v>Trickery</v>
      </c>
      <c r="F109" s="164"/>
      <c r="G109" s="33">
        <f t="shared" ca="1" si="164"/>
        <v>-25</v>
      </c>
      <c r="H109" s="33">
        <f ca="1">SUM(O109:(OFFSET(O109,0,Level)))</f>
        <v>0</v>
      </c>
      <c r="I109" s="33">
        <f ca="1">IF(Level=0,"",VLOOKUP(H109,RankBonus,2,FALSE))</f>
        <v>-25</v>
      </c>
      <c r="J109" s="33">
        <f t="shared" si="189"/>
        <v>0</v>
      </c>
      <c r="K109" s="33">
        <f ca="1">IF(Profession="",0,IF(Profession="No Profession",IF(B109="x",H109,0),(VLOOKUP(D109,PBSkills,MATCH(Profession,Professions,0)+2,FALSE)*H109)))</f>
        <v>0</v>
      </c>
      <c r="L109" s="168"/>
      <c r="M109" s="33" t="str">
        <f t="shared" si="162"/>
        <v>Ag/In/Pr</v>
      </c>
      <c r="N109" s="33" t="str">
        <f t="shared" si="163"/>
        <v>2/3</v>
      </c>
      <c r="O109" s="131"/>
      <c r="P109" s="168"/>
      <c r="Q109" s="168"/>
      <c r="R109" s="168"/>
      <c r="S109" s="168"/>
      <c r="T109" s="168"/>
      <c r="U109" s="164"/>
      <c r="V109" s="164"/>
      <c r="W109" s="164"/>
      <c r="X109" s="164"/>
      <c r="Y109" s="164"/>
      <c r="Z109" s="164"/>
      <c r="AA109" s="164"/>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c r="BA109" s="168"/>
      <c r="BB109" s="168"/>
      <c r="BC109" s="168"/>
      <c r="BD109" s="168"/>
      <c r="BE109" s="168"/>
      <c r="BF109" s="168"/>
      <c r="BG109" s="168"/>
      <c r="BH109" s="168"/>
      <c r="BI109" s="168"/>
      <c r="BJ109" s="168"/>
      <c r="BK109" s="168"/>
      <c r="BL109" s="168"/>
      <c r="BM109" s="173"/>
      <c r="BO109" s="27" t="str">
        <f t="shared" si="165"/>
        <v>2</v>
      </c>
      <c r="BP109" s="8" t="str">
        <f t="shared" si="166"/>
        <v>3</v>
      </c>
      <c r="BQ109" s="8">
        <f t="shared" si="167"/>
        <v>0</v>
      </c>
      <c r="BR109" s="8">
        <f t="shared" si="168"/>
        <v>0</v>
      </c>
      <c r="BS109" s="8">
        <f t="shared" si="169"/>
        <v>0</v>
      </c>
      <c r="BT109" s="8">
        <f t="shared" si="170"/>
        <v>0</v>
      </c>
      <c r="BU109" s="8">
        <f t="shared" si="171"/>
        <v>0</v>
      </c>
      <c r="BV109" s="8">
        <f t="shared" si="172"/>
        <v>0</v>
      </c>
      <c r="BW109" s="8">
        <f t="shared" si="173"/>
        <v>0</v>
      </c>
      <c r="BX109" s="8">
        <f t="shared" si="174"/>
        <v>0</v>
      </c>
      <c r="BY109" s="8">
        <f t="shared" si="175"/>
        <v>0</v>
      </c>
      <c r="BZ109" s="8">
        <f t="shared" si="176"/>
        <v>0</v>
      </c>
      <c r="CA109" s="8">
        <f t="shared" si="177"/>
        <v>0</v>
      </c>
      <c r="CB109" s="8">
        <f t="shared" si="178"/>
        <v>0</v>
      </c>
      <c r="CC109" s="8">
        <f t="shared" si="179"/>
        <v>0</v>
      </c>
      <c r="CD109" s="8">
        <f t="shared" si="180"/>
        <v>0</v>
      </c>
      <c r="CE109" s="8">
        <f t="shared" si="181"/>
        <v>0</v>
      </c>
      <c r="CF109" s="8">
        <f t="shared" si="182"/>
        <v>0</v>
      </c>
      <c r="CG109" s="8">
        <f t="shared" si="183"/>
        <v>0</v>
      </c>
      <c r="CH109" s="8">
        <f t="shared" si="184"/>
        <v>0</v>
      </c>
      <c r="CI109" s="8">
        <f t="shared" si="185"/>
        <v>0</v>
      </c>
      <c r="CJ109" s="8">
        <f t="shared" si="186"/>
        <v>0</v>
      </c>
      <c r="CK109" s="8">
        <f t="shared" si="186"/>
        <v>0</v>
      </c>
      <c r="CL109" s="8">
        <f t="shared" si="186"/>
        <v>0</v>
      </c>
      <c r="CM109" s="8">
        <f t="shared" si="186"/>
        <v>0</v>
      </c>
      <c r="CN109" s="8">
        <f t="shared" si="186"/>
        <v>0</v>
      </c>
      <c r="CO109" s="8">
        <f t="shared" si="186"/>
        <v>0</v>
      </c>
      <c r="CP109" s="8">
        <f t="shared" si="186"/>
        <v>0</v>
      </c>
      <c r="CQ109" s="8">
        <f t="shared" si="137"/>
        <v>0</v>
      </c>
      <c r="CR109" s="8">
        <f t="shared" si="138"/>
        <v>0</v>
      </c>
      <c r="CS109" s="8">
        <f t="shared" si="139"/>
        <v>0</v>
      </c>
      <c r="CT109" s="8">
        <f t="shared" si="140"/>
        <v>0</v>
      </c>
      <c r="CU109" s="8">
        <f t="shared" si="141"/>
        <v>0</v>
      </c>
      <c r="CV109" s="8">
        <f t="shared" si="142"/>
        <v>0</v>
      </c>
      <c r="CW109" s="8">
        <f t="shared" si="143"/>
        <v>0</v>
      </c>
      <c r="CX109" s="8">
        <f t="shared" si="144"/>
        <v>0</v>
      </c>
      <c r="CY109" s="8">
        <f t="shared" si="145"/>
        <v>0</v>
      </c>
      <c r="CZ109" s="8">
        <f t="shared" si="146"/>
        <v>0</v>
      </c>
      <c r="DA109" s="8">
        <f t="shared" si="147"/>
        <v>0</v>
      </c>
      <c r="DB109" s="8">
        <f t="shared" si="148"/>
        <v>0</v>
      </c>
      <c r="DC109" s="8">
        <f t="shared" si="149"/>
        <v>0</v>
      </c>
      <c r="DD109" s="8">
        <f t="shared" si="150"/>
        <v>0</v>
      </c>
      <c r="DE109" s="8">
        <f t="shared" si="151"/>
        <v>0</v>
      </c>
      <c r="DF109" s="8">
        <f t="shared" si="152"/>
        <v>0</v>
      </c>
      <c r="DG109" s="8">
        <f t="shared" si="153"/>
        <v>0</v>
      </c>
      <c r="DH109" s="8">
        <f t="shared" si="154"/>
        <v>0</v>
      </c>
      <c r="DI109" s="8">
        <f t="shared" si="155"/>
        <v>0</v>
      </c>
      <c r="DJ109" s="8">
        <f t="shared" si="156"/>
        <v>0</v>
      </c>
      <c r="DK109" s="8">
        <f t="shared" si="157"/>
        <v>0</v>
      </c>
      <c r="DL109" s="8">
        <f t="shared" si="158"/>
        <v>0</v>
      </c>
      <c r="DM109" s="8">
        <f t="shared" si="159"/>
        <v>0</v>
      </c>
      <c r="DN109" s="8">
        <f t="shared" si="160"/>
        <v>0</v>
      </c>
      <c r="DO109" s="177"/>
      <c r="DP109" s="141"/>
      <c r="DQ109" s="141"/>
      <c r="DR109" s="141" t="s">
        <v>417</v>
      </c>
      <c r="DS109" s="141"/>
      <c r="DT109" s="141"/>
      <c r="DU109" s="141"/>
      <c r="DV109" s="141"/>
      <c r="DW109" s="141"/>
      <c r="DX109" s="141"/>
      <c r="DY109" s="141" t="s">
        <v>417</v>
      </c>
      <c r="DZ109" s="141"/>
      <c r="EA109" s="141" t="s">
        <v>417</v>
      </c>
      <c r="EB109" s="141"/>
      <c r="EC109" s="141"/>
      <c r="ED109" s="141"/>
      <c r="EE109" s="141" t="s">
        <v>417</v>
      </c>
      <c r="EF109" s="141"/>
      <c r="EG109" s="141"/>
      <c r="EH109" s="141"/>
      <c r="EI109" s="141" t="s">
        <v>417</v>
      </c>
      <c r="EJ109" s="142"/>
      <c r="EK109" s="180"/>
    </row>
    <row r="110" spans="2:141" x14ac:dyDescent="0.25">
      <c r="B110" s="69"/>
      <c r="C110" s="32" t="s">
        <v>67</v>
      </c>
      <c r="D110" s="35"/>
      <c r="E110" s="35"/>
      <c r="F110" s="166"/>
      <c r="G110" s="33"/>
      <c r="H110" s="33"/>
      <c r="I110" s="33"/>
      <c r="J110" s="33"/>
      <c r="K110" s="33"/>
      <c r="L110" s="33"/>
      <c r="M110" s="33"/>
      <c r="N110" s="33"/>
      <c r="O110" s="51"/>
      <c r="P110" s="174"/>
      <c r="Q110" s="174"/>
      <c r="R110" s="174"/>
      <c r="S110" s="174"/>
      <c r="T110" s="174"/>
      <c r="U110" s="166"/>
      <c r="V110" s="166"/>
      <c r="W110" s="166"/>
      <c r="X110" s="166"/>
      <c r="Y110" s="166"/>
      <c r="Z110" s="166"/>
      <c r="AA110" s="166"/>
      <c r="AB110" s="174"/>
      <c r="AC110" s="174"/>
      <c r="AD110" s="174"/>
      <c r="AE110" s="174"/>
      <c r="AF110" s="174"/>
      <c r="AG110" s="174"/>
      <c r="AH110" s="174"/>
      <c r="AI110" s="174"/>
      <c r="AJ110" s="174"/>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c r="BH110" s="174"/>
      <c r="BI110" s="174"/>
      <c r="BJ110" s="174"/>
      <c r="BK110" s="174"/>
      <c r="BL110" s="174"/>
      <c r="BM110" s="175"/>
      <c r="BO110" s="27" t="str">
        <f t="shared" si="165"/>
        <v/>
      </c>
      <c r="BP110" s="8" t="str">
        <f t="shared" si="166"/>
        <v/>
      </c>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169"/>
      <c r="DP110" s="35"/>
      <c r="DQ110" s="35"/>
      <c r="DR110" s="35"/>
      <c r="DS110" s="35"/>
      <c r="DT110" s="35"/>
      <c r="DU110" s="35"/>
      <c r="DV110" s="35"/>
      <c r="DW110" s="35"/>
      <c r="DX110" s="35"/>
      <c r="DY110" s="35"/>
      <c r="DZ110" s="35"/>
      <c r="EA110" s="35"/>
      <c r="EB110" s="35"/>
      <c r="EC110" s="35"/>
      <c r="ED110" s="35"/>
      <c r="EE110" s="35"/>
      <c r="EF110" s="35"/>
      <c r="EG110" s="35"/>
      <c r="EH110" s="35"/>
      <c r="EI110" s="35"/>
      <c r="EJ110" s="35"/>
      <c r="EK110" s="181"/>
    </row>
    <row r="111" spans="2:141" x14ac:dyDescent="0.25">
      <c r="B111" s="69" t="str">
        <f>IF(Profession="","",IF(HLOOKUP(Profession,Skills!$DO$3:$EK$126,ROW(D111)-2,FALSE)="","",HLOOKUP(Profession,Skills!$DO$3:$EK$126,ROW(D111)-2,FALSE)))</f>
        <v/>
      </c>
      <c r="C111" s="32"/>
      <c r="D111" s="35" t="s">
        <v>104</v>
      </c>
      <c r="E111" s="35" t="str">
        <f t="shared" ref="E111:E126" si="190">D111</f>
        <v>Composition</v>
      </c>
      <c r="F111" s="164"/>
      <c r="G111" s="33">
        <f t="shared" ca="1" si="164"/>
        <v>-25</v>
      </c>
      <c r="H111" s="33">
        <f ca="1">SUM(O111:(OFFSET(O111,0,Level)))</f>
        <v>0</v>
      </c>
      <c r="I111" s="33">
        <f t="shared" ref="I111:I126" ca="1" si="191">IF(Level=0,"",VLOOKUP(H111,RankBonus,2,FALSE))</f>
        <v>-25</v>
      </c>
      <c r="J111" s="33">
        <f t="shared" si="189"/>
        <v>0</v>
      </c>
      <c r="K111" s="33">
        <f t="shared" ref="K111:K126" ca="1" si="192">IF(Profession="",0,IF(Profession="No Profession",IF(B111="x",H111,0),(VLOOKUP(D111,PBSkills,MATCH(Profession,Professions,0)+2,FALSE)*H111)))</f>
        <v>0</v>
      </c>
      <c r="L111" s="168"/>
      <c r="M111" s="33" t="str">
        <f t="shared" si="162"/>
        <v>Me/Re/Re</v>
      </c>
      <c r="N111" s="33" t="str">
        <f t="shared" si="163"/>
        <v>3/5</v>
      </c>
      <c r="O111" s="171"/>
      <c r="P111" s="168"/>
      <c r="Q111" s="168"/>
      <c r="R111" s="168"/>
      <c r="S111" s="168"/>
      <c r="T111" s="168"/>
      <c r="U111" s="164"/>
      <c r="V111" s="164"/>
      <c r="W111" s="164"/>
      <c r="X111" s="164"/>
      <c r="Y111" s="164"/>
      <c r="Z111" s="164"/>
      <c r="AA111" s="164"/>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c r="BA111" s="168"/>
      <c r="BB111" s="168"/>
      <c r="BC111" s="168"/>
      <c r="BD111" s="168"/>
      <c r="BE111" s="168"/>
      <c r="BF111" s="168"/>
      <c r="BG111" s="168"/>
      <c r="BH111" s="168"/>
      <c r="BI111" s="168"/>
      <c r="BJ111" s="168"/>
      <c r="BK111" s="168"/>
      <c r="BL111" s="168"/>
      <c r="BM111" s="173"/>
      <c r="BO111" s="27" t="str">
        <f t="shared" si="165"/>
        <v>3</v>
      </c>
      <c r="BP111" s="8" t="str">
        <f t="shared" si="166"/>
        <v>5</v>
      </c>
      <c r="BQ111" s="8">
        <f t="shared" si="167"/>
        <v>0</v>
      </c>
      <c r="BR111" s="8">
        <f t="shared" si="168"/>
        <v>0</v>
      </c>
      <c r="BS111" s="8">
        <f t="shared" si="169"/>
        <v>0</v>
      </c>
      <c r="BT111" s="8">
        <f t="shared" si="170"/>
        <v>0</v>
      </c>
      <c r="BU111" s="8">
        <f t="shared" si="171"/>
        <v>0</v>
      </c>
      <c r="BV111" s="8">
        <f t="shared" si="172"/>
        <v>0</v>
      </c>
      <c r="BW111" s="8">
        <f t="shared" si="173"/>
        <v>0</v>
      </c>
      <c r="BX111" s="8">
        <f t="shared" si="174"/>
        <v>0</v>
      </c>
      <c r="BY111" s="8">
        <f t="shared" si="175"/>
        <v>0</v>
      </c>
      <c r="BZ111" s="8">
        <f t="shared" si="176"/>
        <v>0</v>
      </c>
      <c r="CA111" s="8">
        <f t="shared" si="177"/>
        <v>0</v>
      </c>
      <c r="CB111" s="8">
        <f t="shared" si="178"/>
        <v>0</v>
      </c>
      <c r="CC111" s="8">
        <f t="shared" si="179"/>
        <v>0</v>
      </c>
      <c r="CD111" s="8">
        <f t="shared" si="180"/>
        <v>0</v>
      </c>
      <c r="CE111" s="8">
        <f t="shared" si="181"/>
        <v>0</v>
      </c>
      <c r="CF111" s="8">
        <f t="shared" si="182"/>
        <v>0</v>
      </c>
      <c r="CG111" s="8">
        <f t="shared" si="183"/>
        <v>0</v>
      </c>
      <c r="CH111" s="8">
        <f t="shared" si="184"/>
        <v>0</v>
      </c>
      <c r="CI111" s="8">
        <f t="shared" si="185"/>
        <v>0</v>
      </c>
      <c r="CJ111" s="8">
        <f t="shared" si="186"/>
        <v>0</v>
      </c>
      <c r="CK111" s="8">
        <f t="shared" si="186"/>
        <v>0</v>
      </c>
      <c r="CL111" s="8">
        <f t="shared" si="186"/>
        <v>0</v>
      </c>
      <c r="CM111" s="8">
        <f t="shared" si="186"/>
        <v>0</v>
      </c>
      <c r="CN111" s="8">
        <f t="shared" si="186"/>
        <v>0</v>
      </c>
      <c r="CO111" s="8">
        <f t="shared" si="186"/>
        <v>0</v>
      </c>
      <c r="CP111" s="8">
        <f t="shared" si="186"/>
        <v>0</v>
      </c>
      <c r="CQ111" s="8">
        <f t="shared" si="137"/>
        <v>0</v>
      </c>
      <c r="CR111" s="8">
        <f t="shared" si="138"/>
        <v>0</v>
      </c>
      <c r="CS111" s="8">
        <f t="shared" si="139"/>
        <v>0</v>
      </c>
      <c r="CT111" s="8">
        <f t="shared" si="140"/>
        <v>0</v>
      </c>
      <c r="CU111" s="8">
        <f t="shared" si="141"/>
        <v>0</v>
      </c>
      <c r="CV111" s="8">
        <f t="shared" si="142"/>
        <v>0</v>
      </c>
      <c r="CW111" s="8">
        <f t="shared" si="143"/>
        <v>0</v>
      </c>
      <c r="CX111" s="8">
        <f t="shared" si="144"/>
        <v>0</v>
      </c>
      <c r="CY111" s="8">
        <f t="shared" si="145"/>
        <v>0</v>
      </c>
      <c r="CZ111" s="8">
        <f t="shared" si="146"/>
        <v>0</v>
      </c>
      <c r="DA111" s="8">
        <f t="shared" si="147"/>
        <v>0</v>
      </c>
      <c r="DB111" s="8">
        <f t="shared" si="148"/>
        <v>0</v>
      </c>
      <c r="DC111" s="8">
        <f t="shared" si="149"/>
        <v>0</v>
      </c>
      <c r="DD111" s="8">
        <f t="shared" si="150"/>
        <v>0</v>
      </c>
      <c r="DE111" s="8">
        <f t="shared" si="151"/>
        <v>0</v>
      </c>
      <c r="DF111" s="8">
        <f t="shared" si="152"/>
        <v>0</v>
      </c>
      <c r="DG111" s="8">
        <f t="shared" si="153"/>
        <v>0</v>
      </c>
      <c r="DH111" s="8">
        <f t="shared" si="154"/>
        <v>0</v>
      </c>
      <c r="DI111" s="8">
        <f t="shared" si="155"/>
        <v>0</v>
      </c>
      <c r="DJ111" s="8">
        <f t="shared" si="156"/>
        <v>0</v>
      </c>
      <c r="DK111" s="8">
        <f t="shared" si="157"/>
        <v>0</v>
      </c>
      <c r="DL111" s="8">
        <f t="shared" si="158"/>
        <v>0</v>
      </c>
      <c r="DM111" s="8">
        <f t="shared" si="159"/>
        <v>0</v>
      </c>
      <c r="DN111" s="8">
        <f t="shared" si="160"/>
        <v>0</v>
      </c>
      <c r="DO111" s="177"/>
      <c r="DP111" s="141"/>
      <c r="DQ111" s="141"/>
      <c r="DR111" s="141"/>
      <c r="DS111" s="141"/>
      <c r="DT111" s="141"/>
      <c r="DU111" s="141" t="s">
        <v>417</v>
      </c>
      <c r="DV111" s="141"/>
      <c r="DW111" s="141"/>
      <c r="DX111" s="141"/>
      <c r="DY111" s="141"/>
      <c r="DZ111" s="141" t="s">
        <v>417</v>
      </c>
      <c r="EA111" s="141"/>
      <c r="EB111" s="141"/>
      <c r="EC111" s="141"/>
      <c r="ED111" s="141"/>
      <c r="EE111" s="141"/>
      <c r="EF111" s="141"/>
      <c r="EG111" s="141"/>
      <c r="EH111" s="141"/>
      <c r="EI111" s="141"/>
      <c r="EJ111" s="142"/>
      <c r="EK111" s="180"/>
    </row>
    <row r="112" spans="2:141" x14ac:dyDescent="0.25">
      <c r="B112" s="69" t="str">
        <f>IF(Profession="","",IF(HLOOKUP(Profession,Skills!$DO$3:$EK$126,ROW(D112)-2,FALSE)="","",HLOOKUP(Profession,Skills!$DO$3:$EK$126,ROW(D112)-2,FALSE)))</f>
        <v/>
      </c>
      <c r="C112" s="32"/>
      <c r="D112" s="35" t="s">
        <v>104</v>
      </c>
      <c r="E112" s="35" t="str">
        <f t="shared" si="190"/>
        <v>Composition</v>
      </c>
      <c r="F112" s="164"/>
      <c r="G112" s="33">
        <f t="shared" ca="1" si="164"/>
        <v>-25</v>
      </c>
      <c r="H112" s="33">
        <f ca="1">SUM(O112:(OFFSET(O112,0,Level)))</f>
        <v>0</v>
      </c>
      <c r="I112" s="33">
        <f t="shared" ca="1" si="191"/>
        <v>-25</v>
      </c>
      <c r="J112" s="33">
        <f t="shared" si="189"/>
        <v>0</v>
      </c>
      <c r="K112" s="33">
        <f t="shared" ca="1" si="192"/>
        <v>0</v>
      </c>
      <c r="L112" s="168"/>
      <c r="M112" s="33" t="str">
        <f t="shared" si="162"/>
        <v>Me/Re/Re</v>
      </c>
      <c r="N112" s="33" t="str">
        <f t="shared" si="163"/>
        <v>3/5</v>
      </c>
      <c r="O112" s="171"/>
      <c r="P112" s="168"/>
      <c r="Q112" s="168"/>
      <c r="R112" s="168"/>
      <c r="S112" s="168"/>
      <c r="T112" s="168"/>
      <c r="U112" s="164"/>
      <c r="V112" s="164"/>
      <c r="W112" s="164"/>
      <c r="X112" s="164"/>
      <c r="Y112" s="164"/>
      <c r="Z112" s="164"/>
      <c r="AA112" s="164"/>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c r="BA112" s="168"/>
      <c r="BB112" s="168"/>
      <c r="BC112" s="168"/>
      <c r="BD112" s="168"/>
      <c r="BE112" s="168"/>
      <c r="BF112" s="168"/>
      <c r="BG112" s="168"/>
      <c r="BH112" s="168"/>
      <c r="BI112" s="168"/>
      <c r="BJ112" s="168"/>
      <c r="BK112" s="168"/>
      <c r="BL112" s="168"/>
      <c r="BM112" s="173"/>
      <c r="BO112" s="27" t="str">
        <f t="shared" si="165"/>
        <v>3</v>
      </c>
      <c r="BP112" s="8" t="str">
        <f t="shared" si="166"/>
        <v>5</v>
      </c>
      <c r="BQ112" s="8">
        <f t="shared" si="167"/>
        <v>0</v>
      </c>
      <c r="BR112" s="8">
        <f t="shared" si="168"/>
        <v>0</v>
      </c>
      <c r="BS112" s="8">
        <f t="shared" si="169"/>
        <v>0</v>
      </c>
      <c r="BT112" s="8">
        <f t="shared" si="170"/>
        <v>0</v>
      </c>
      <c r="BU112" s="8">
        <f t="shared" si="171"/>
        <v>0</v>
      </c>
      <c r="BV112" s="8">
        <f t="shared" si="172"/>
        <v>0</v>
      </c>
      <c r="BW112" s="8">
        <f t="shared" si="173"/>
        <v>0</v>
      </c>
      <c r="BX112" s="8">
        <f t="shared" si="174"/>
        <v>0</v>
      </c>
      <c r="BY112" s="8">
        <f t="shared" si="175"/>
        <v>0</v>
      </c>
      <c r="BZ112" s="8">
        <f t="shared" si="176"/>
        <v>0</v>
      </c>
      <c r="CA112" s="8">
        <f t="shared" si="177"/>
        <v>0</v>
      </c>
      <c r="CB112" s="8">
        <f t="shared" si="178"/>
        <v>0</v>
      </c>
      <c r="CC112" s="8">
        <f t="shared" si="179"/>
        <v>0</v>
      </c>
      <c r="CD112" s="8">
        <f t="shared" si="180"/>
        <v>0</v>
      </c>
      <c r="CE112" s="8">
        <f t="shared" si="181"/>
        <v>0</v>
      </c>
      <c r="CF112" s="8">
        <f t="shared" si="182"/>
        <v>0</v>
      </c>
      <c r="CG112" s="8">
        <f t="shared" si="183"/>
        <v>0</v>
      </c>
      <c r="CH112" s="8">
        <f t="shared" si="184"/>
        <v>0</v>
      </c>
      <c r="CI112" s="8">
        <f t="shared" si="185"/>
        <v>0</v>
      </c>
      <c r="CJ112" s="8">
        <f t="shared" si="186"/>
        <v>0</v>
      </c>
      <c r="CK112" s="8">
        <f t="shared" si="186"/>
        <v>0</v>
      </c>
      <c r="CL112" s="8">
        <f t="shared" si="186"/>
        <v>0</v>
      </c>
      <c r="CM112" s="8">
        <f t="shared" si="186"/>
        <v>0</v>
      </c>
      <c r="CN112" s="8">
        <f t="shared" si="186"/>
        <v>0</v>
      </c>
      <c r="CO112" s="8">
        <f t="shared" si="186"/>
        <v>0</v>
      </c>
      <c r="CP112" s="8">
        <f t="shared" si="186"/>
        <v>0</v>
      </c>
      <c r="CQ112" s="8">
        <f t="shared" si="137"/>
        <v>0</v>
      </c>
      <c r="CR112" s="8">
        <f t="shared" si="138"/>
        <v>0</v>
      </c>
      <c r="CS112" s="8">
        <f t="shared" si="139"/>
        <v>0</v>
      </c>
      <c r="CT112" s="8">
        <f t="shared" si="140"/>
        <v>0</v>
      </c>
      <c r="CU112" s="8">
        <f t="shared" si="141"/>
        <v>0</v>
      </c>
      <c r="CV112" s="8">
        <f t="shared" si="142"/>
        <v>0</v>
      </c>
      <c r="CW112" s="8">
        <f t="shared" si="143"/>
        <v>0</v>
      </c>
      <c r="CX112" s="8">
        <f t="shared" si="144"/>
        <v>0</v>
      </c>
      <c r="CY112" s="8">
        <f t="shared" si="145"/>
        <v>0</v>
      </c>
      <c r="CZ112" s="8">
        <f t="shared" si="146"/>
        <v>0</v>
      </c>
      <c r="DA112" s="8">
        <f t="shared" si="147"/>
        <v>0</v>
      </c>
      <c r="DB112" s="8">
        <f t="shared" si="148"/>
        <v>0</v>
      </c>
      <c r="DC112" s="8">
        <f t="shared" si="149"/>
        <v>0</v>
      </c>
      <c r="DD112" s="8">
        <f t="shared" si="150"/>
        <v>0</v>
      </c>
      <c r="DE112" s="8">
        <f t="shared" si="151"/>
        <v>0</v>
      </c>
      <c r="DF112" s="8">
        <f t="shared" si="152"/>
        <v>0</v>
      </c>
      <c r="DG112" s="8">
        <f t="shared" si="153"/>
        <v>0</v>
      </c>
      <c r="DH112" s="8">
        <f t="shared" si="154"/>
        <v>0</v>
      </c>
      <c r="DI112" s="8">
        <f t="shared" si="155"/>
        <v>0</v>
      </c>
      <c r="DJ112" s="8">
        <f t="shared" si="156"/>
        <v>0</v>
      </c>
      <c r="DK112" s="8">
        <f t="shared" si="157"/>
        <v>0</v>
      </c>
      <c r="DL112" s="8">
        <f t="shared" si="158"/>
        <v>0</v>
      </c>
      <c r="DM112" s="8">
        <f t="shared" si="159"/>
        <v>0</v>
      </c>
      <c r="DN112" s="8">
        <f t="shared" si="160"/>
        <v>0</v>
      </c>
      <c r="DO112" s="177"/>
      <c r="DP112" s="141"/>
      <c r="DQ112" s="141"/>
      <c r="DR112" s="141"/>
      <c r="DS112" s="141"/>
      <c r="DT112" s="141"/>
      <c r="DU112" s="141" t="s">
        <v>417</v>
      </c>
      <c r="DV112" s="141"/>
      <c r="DW112" s="141"/>
      <c r="DX112" s="141"/>
      <c r="DY112" s="141"/>
      <c r="DZ112" s="141" t="s">
        <v>417</v>
      </c>
      <c r="EA112" s="141"/>
      <c r="EB112" s="141"/>
      <c r="EC112" s="141"/>
      <c r="ED112" s="141"/>
      <c r="EE112" s="141"/>
      <c r="EF112" s="141"/>
      <c r="EG112" s="141"/>
      <c r="EH112" s="141"/>
      <c r="EI112" s="141"/>
      <c r="EJ112" s="142"/>
      <c r="EK112" s="180"/>
    </row>
    <row r="113" spans="2:141" x14ac:dyDescent="0.25">
      <c r="B113" s="69" t="str">
        <f>IF(Profession="","",IF(HLOOKUP(Profession,Skills!$DO$3:$EK$126,ROW(D113)-2,FALSE)="","",HLOOKUP(Profession,Skills!$DO$3:$EK$126,ROW(D113)-2,FALSE)))</f>
        <v/>
      </c>
      <c r="C113" s="32"/>
      <c r="D113" s="35" t="s">
        <v>105</v>
      </c>
      <c r="E113" s="35" t="str">
        <f t="shared" si="190"/>
        <v>Crafting</v>
      </c>
      <c r="F113" s="164"/>
      <c r="G113" s="33">
        <f ca="1">SUM(I113:L113)</f>
        <v>-25</v>
      </c>
      <c r="H113" s="33">
        <f ca="1">SUM(O113:(OFFSET(O113,0,Level)))</f>
        <v>0</v>
      </c>
      <c r="I113" s="33">
        <f ca="1">IF(Level=0,"",VLOOKUP(H113,RankBonus,2,FALSE))</f>
        <v>-25</v>
      </c>
      <c r="J113" s="33">
        <f>IF(OR(M113="",M113="-"),0,VLOOKUP(MID(M113,1,2),StatBonuses,2,FALSE)+VLOOKUP(MID(M113,4,2),StatBonuses,2,FALSE)+VLOOKUP(MID(M113,7,2),StatBonuses,2,FALSE))</f>
        <v>0</v>
      </c>
      <c r="K113" s="33">
        <f t="shared" ca="1" si="192"/>
        <v>0</v>
      </c>
      <c r="L113" s="168"/>
      <c r="M113" s="33" t="str">
        <f>IF(D113="","",VLOOKUP(D113,DPCosts,2,FALSE))</f>
        <v>Ag/SD/Me</v>
      </c>
      <c r="N113" s="33" t="str">
        <f>IF(OR(D113="", Profession=""),"",VLOOKUP(D113,DPCosts,MATCH(Profession,Professions,0)+2,FALSE))</f>
        <v>2/4</v>
      </c>
      <c r="O113" s="171"/>
      <c r="P113" s="168"/>
      <c r="Q113" s="168"/>
      <c r="R113" s="168"/>
      <c r="S113" s="168"/>
      <c r="T113" s="168"/>
      <c r="U113" s="164"/>
      <c r="V113" s="164"/>
      <c r="W113" s="164"/>
      <c r="X113" s="164"/>
      <c r="Y113" s="164"/>
      <c r="Z113" s="164"/>
      <c r="AA113" s="164"/>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c r="BA113" s="168"/>
      <c r="BB113" s="168"/>
      <c r="BC113" s="168"/>
      <c r="BD113" s="168"/>
      <c r="BE113" s="168"/>
      <c r="BF113" s="168"/>
      <c r="BG113" s="168"/>
      <c r="BH113" s="168"/>
      <c r="BI113" s="168"/>
      <c r="BJ113" s="168"/>
      <c r="BK113" s="168"/>
      <c r="BL113" s="168"/>
      <c r="BM113" s="173"/>
      <c r="BO113" s="27" t="str">
        <f t="shared" si="165"/>
        <v>2</v>
      </c>
      <c r="BP113" s="8" t="str">
        <f t="shared" si="166"/>
        <v>4</v>
      </c>
      <c r="BQ113" s="8">
        <f t="shared" si="167"/>
        <v>0</v>
      </c>
      <c r="BR113" s="8">
        <f t="shared" si="168"/>
        <v>0</v>
      </c>
      <c r="BS113" s="8">
        <f t="shared" si="169"/>
        <v>0</v>
      </c>
      <c r="BT113" s="8">
        <f t="shared" si="170"/>
        <v>0</v>
      </c>
      <c r="BU113" s="8">
        <f t="shared" si="171"/>
        <v>0</v>
      </c>
      <c r="BV113" s="8">
        <f t="shared" si="172"/>
        <v>0</v>
      </c>
      <c r="BW113" s="8">
        <f t="shared" si="173"/>
        <v>0</v>
      </c>
      <c r="BX113" s="8">
        <f t="shared" si="174"/>
        <v>0</v>
      </c>
      <c r="BY113" s="8">
        <f t="shared" si="175"/>
        <v>0</v>
      </c>
      <c r="BZ113" s="8">
        <f t="shared" si="176"/>
        <v>0</v>
      </c>
      <c r="CA113" s="8">
        <f t="shared" si="177"/>
        <v>0</v>
      </c>
      <c r="CB113" s="8">
        <f t="shared" si="178"/>
        <v>0</v>
      </c>
      <c r="CC113" s="8">
        <f t="shared" si="179"/>
        <v>0</v>
      </c>
      <c r="CD113" s="8">
        <f t="shared" si="180"/>
        <v>0</v>
      </c>
      <c r="CE113" s="8">
        <f t="shared" si="181"/>
        <v>0</v>
      </c>
      <c r="CF113" s="8">
        <f t="shared" si="182"/>
        <v>0</v>
      </c>
      <c r="CG113" s="8">
        <f t="shared" si="183"/>
        <v>0</v>
      </c>
      <c r="CH113" s="8">
        <f t="shared" si="184"/>
        <v>0</v>
      </c>
      <c r="CI113" s="8">
        <f t="shared" si="185"/>
        <v>0</v>
      </c>
      <c r="CJ113" s="8">
        <f t="shared" ref="CJ113:DN113" si="193">IF(AI113=0,0,IF(AI113=1,INT($BO113),$BO113+$BP113*(AI113-1)))</f>
        <v>0</v>
      </c>
      <c r="CK113" s="8">
        <f t="shared" si="193"/>
        <v>0</v>
      </c>
      <c r="CL113" s="8">
        <f t="shared" si="193"/>
        <v>0</v>
      </c>
      <c r="CM113" s="8">
        <f t="shared" si="193"/>
        <v>0</v>
      </c>
      <c r="CN113" s="8">
        <f t="shared" si="193"/>
        <v>0</v>
      </c>
      <c r="CO113" s="8">
        <f t="shared" si="193"/>
        <v>0</v>
      </c>
      <c r="CP113" s="8">
        <f t="shared" si="193"/>
        <v>0</v>
      </c>
      <c r="CQ113" s="8">
        <f t="shared" si="193"/>
        <v>0</v>
      </c>
      <c r="CR113" s="8">
        <f t="shared" si="193"/>
        <v>0</v>
      </c>
      <c r="CS113" s="8">
        <f t="shared" si="193"/>
        <v>0</v>
      </c>
      <c r="CT113" s="8">
        <f t="shared" si="193"/>
        <v>0</v>
      </c>
      <c r="CU113" s="8">
        <f t="shared" si="193"/>
        <v>0</v>
      </c>
      <c r="CV113" s="8">
        <f t="shared" si="193"/>
        <v>0</v>
      </c>
      <c r="CW113" s="8">
        <f t="shared" si="193"/>
        <v>0</v>
      </c>
      <c r="CX113" s="8">
        <f t="shared" si="193"/>
        <v>0</v>
      </c>
      <c r="CY113" s="8">
        <f t="shared" si="193"/>
        <v>0</v>
      </c>
      <c r="CZ113" s="8">
        <f t="shared" si="193"/>
        <v>0</v>
      </c>
      <c r="DA113" s="8">
        <f t="shared" si="193"/>
        <v>0</v>
      </c>
      <c r="DB113" s="8">
        <f t="shared" si="193"/>
        <v>0</v>
      </c>
      <c r="DC113" s="8">
        <f t="shared" si="193"/>
        <v>0</v>
      </c>
      <c r="DD113" s="8">
        <f t="shared" si="193"/>
        <v>0</v>
      </c>
      <c r="DE113" s="8">
        <f t="shared" si="193"/>
        <v>0</v>
      </c>
      <c r="DF113" s="8">
        <f t="shared" si="193"/>
        <v>0</v>
      </c>
      <c r="DG113" s="8">
        <f t="shared" si="193"/>
        <v>0</v>
      </c>
      <c r="DH113" s="8">
        <f t="shared" si="193"/>
        <v>0</v>
      </c>
      <c r="DI113" s="8">
        <f t="shared" si="193"/>
        <v>0</v>
      </c>
      <c r="DJ113" s="8">
        <f t="shared" si="193"/>
        <v>0</v>
      </c>
      <c r="DK113" s="8">
        <f t="shared" si="193"/>
        <v>0</v>
      </c>
      <c r="DL113" s="8">
        <f t="shared" si="193"/>
        <v>0</v>
      </c>
      <c r="DM113" s="8">
        <f t="shared" si="193"/>
        <v>0</v>
      </c>
      <c r="DN113" s="8">
        <f t="shared" si="193"/>
        <v>0</v>
      </c>
      <c r="DO113" s="177"/>
      <c r="DP113" s="141"/>
      <c r="DQ113" s="141"/>
      <c r="DR113" s="141"/>
      <c r="DS113" s="141"/>
      <c r="DT113" s="141" t="s">
        <v>417</v>
      </c>
      <c r="DU113" s="141" t="s">
        <v>417</v>
      </c>
      <c r="DV113" s="141"/>
      <c r="DW113" s="141"/>
      <c r="DX113" s="141"/>
      <c r="DY113" s="141"/>
      <c r="DZ113" s="141"/>
      <c r="EA113" s="141"/>
      <c r="EB113" s="141"/>
      <c r="EC113" s="141"/>
      <c r="ED113" s="141"/>
      <c r="EE113" s="141"/>
      <c r="EF113" s="141"/>
      <c r="EG113" s="141" t="s">
        <v>417</v>
      </c>
      <c r="EH113" s="141"/>
      <c r="EI113" s="141"/>
      <c r="EJ113" s="142"/>
      <c r="EK113" s="180"/>
    </row>
    <row r="114" spans="2:141" x14ac:dyDescent="0.25">
      <c r="B114" s="69" t="str">
        <f>IF(Profession="","",IF(HLOOKUP(Profession,Skills!$DO$3:$EK$126,ROW(D114)-2,FALSE)="","",HLOOKUP(Profession,Skills!$DO$3:$EK$126,ROW(D114)-2,FALSE)))</f>
        <v/>
      </c>
      <c r="C114" s="32"/>
      <c r="D114" s="35" t="s">
        <v>105</v>
      </c>
      <c r="E114" s="35" t="str">
        <f t="shared" si="190"/>
        <v>Crafting</v>
      </c>
      <c r="F114" s="164"/>
      <c r="G114" s="33">
        <f t="shared" ca="1" si="164"/>
        <v>-25</v>
      </c>
      <c r="H114" s="33">
        <f ca="1">SUM(O114:(OFFSET(O114,0,Level)))</f>
        <v>0</v>
      </c>
      <c r="I114" s="33">
        <f t="shared" ca="1" si="191"/>
        <v>-25</v>
      </c>
      <c r="J114" s="33">
        <f t="shared" si="189"/>
        <v>0</v>
      </c>
      <c r="K114" s="33">
        <f t="shared" ca="1" si="192"/>
        <v>0</v>
      </c>
      <c r="L114" s="168"/>
      <c r="M114" s="33" t="str">
        <f t="shared" si="162"/>
        <v>Ag/SD/Me</v>
      </c>
      <c r="N114" s="33" t="str">
        <f t="shared" si="163"/>
        <v>2/4</v>
      </c>
      <c r="O114" s="171"/>
      <c r="P114" s="168"/>
      <c r="Q114" s="168"/>
      <c r="R114" s="168"/>
      <c r="S114" s="168"/>
      <c r="T114" s="168"/>
      <c r="U114" s="164"/>
      <c r="V114" s="164"/>
      <c r="W114" s="164"/>
      <c r="X114" s="164"/>
      <c r="Y114" s="164"/>
      <c r="Z114" s="164"/>
      <c r="AA114" s="164"/>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c r="BA114" s="168"/>
      <c r="BB114" s="168"/>
      <c r="BC114" s="168"/>
      <c r="BD114" s="168"/>
      <c r="BE114" s="168"/>
      <c r="BF114" s="168"/>
      <c r="BG114" s="168"/>
      <c r="BH114" s="168"/>
      <c r="BI114" s="168"/>
      <c r="BJ114" s="168"/>
      <c r="BK114" s="168"/>
      <c r="BL114" s="168"/>
      <c r="BM114" s="173"/>
      <c r="BO114" s="27" t="str">
        <f t="shared" si="165"/>
        <v>2</v>
      </c>
      <c r="BP114" s="8" t="str">
        <f t="shared" si="166"/>
        <v>4</v>
      </c>
      <c r="BQ114" s="8">
        <f t="shared" si="167"/>
        <v>0</v>
      </c>
      <c r="BR114" s="8">
        <f t="shared" si="168"/>
        <v>0</v>
      </c>
      <c r="BS114" s="8">
        <f t="shared" si="169"/>
        <v>0</v>
      </c>
      <c r="BT114" s="8">
        <f t="shared" si="170"/>
        <v>0</v>
      </c>
      <c r="BU114" s="8">
        <f t="shared" si="171"/>
        <v>0</v>
      </c>
      <c r="BV114" s="8">
        <f t="shared" si="172"/>
        <v>0</v>
      </c>
      <c r="BW114" s="8">
        <f t="shared" si="173"/>
        <v>0</v>
      </c>
      <c r="BX114" s="8">
        <f t="shared" si="174"/>
        <v>0</v>
      </c>
      <c r="BY114" s="8">
        <f t="shared" si="175"/>
        <v>0</v>
      </c>
      <c r="BZ114" s="8">
        <f t="shared" si="176"/>
        <v>0</v>
      </c>
      <c r="CA114" s="8">
        <f t="shared" si="177"/>
        <v>0</v>
      </c>
      <c r="CB114" s="8">
        <f t="shared" si="178"/>
        <v>0</v>
      </c>
      <c r="CC114" s="8">
        <f t="shared" si="179"/>
        <v>0</v>
      </c>
      <c r="CD114" s="8">
        <f t="shared" si="180"/>
        <v>0</v>
      </c>
      <c r="CE114" s="8">
        <f t="shared" si="181"/>
        <v>0</v>
      </c>
      <c r="CF114" s="8">
        <f t="shared" si="182"/>
        <v>0</v>
      </c>
      <c r="CG114" s="8">
        <f t="shared" si="183"/>
        <v>0</v>
      </c>
      <c r="CH114" s="8">
        <f t="shared" si="184"/>
        <v>0</v>
      </c>
      <c r="CI114" s="8">
        <f t="shared" si="185"/>
        <v>0</v>
      </c>
      <c r="CJ114" s="8">
        <f t="shared" si="186"/>
        <v>0</v>
      </c>
      <c r="CK114" s="8">
        <f t="shared" si="186"/>
        <v>0</v>
      </c>
      <c r="CL114" s="8">
        <f t="shared" si="186"/>
        <v>0</v>
      </c>
      <c r="CM114" s="8">
        <f t="shared" si="186"/>
        <v>0</v>
      </c>
      <c r="CN114" s="8">
        <f t="shared" si="186"/>
        <v>0</v>
      </c>
      <c r="CO114" s="8">
        <f t="shared" si="186"/>
        <v>0</v>
      </c>
      <c r="CP114" s="8">
        <f t="shared" si="186"/>
        <v>0</v>
      </c>
      <c r="CQ114" s="8">
        <f t="shared" si="137"/>
        <v>0</v>
      </c>
      <c r="CR114" s="8">
        <f t="shared" si="138"/>
        <v>0</v>
      </c>
      <c r="CS114" s="8">
        <f t="shared" si="139"/>
        <v>0</v>
      </c>
      <c r="CT114" s="8">
        <f t="shared" si="140"/>
        <v>0</v>
      </c>
      <c r="CU114" s="8">
        <f t="shared" si="141"/>
        <v>0</v>
      </c>
      <c r="CV114" s="8">
        <f t="shared" si="142"/>
        <v>0</v>
      </c>
      <c r="CW114" s="8">
        <f t="shared" si="143"/>
        <v>0</v>
      </c>
      <c r="CX114" s="8">
        <f t="shared" si="144"/>
        <v>0</v>
      </c>
      <c r="CY114" s="8">
        <f t="shared" si="145"/>
        <v>0</v>
      </c>
      <c r="CZ114" s="8">
        <f t="shared" si="146"/>
        <v>0</v>
      </c>
      <c r="DA114" s="8">
        <f t="shared" si="147"/>
        <v>0</v>
      </c>
      <c r="DB114" s="8">
        <f t="shared" si="148"/>
        <v>0</v>
      </c>
      <c r="DC114" s="8">
        <f t="shared" si="149"/>
        <v>0</v>
      </c>
      <c r="DD114" s="8">
        <f t="shared" si="150"/>
        <v>0</v>
      </c>
      <c r="DE114" s="8">
        <f t="shared" si="151"/>
        <v>0</v>
      </c>
      <c r="DF114" s="8">
        <f t="shared" si="152"/>
        <v>0</v>
      </c>
      <c r="DG114" s="8">
        <f t="shared" si="153"/>
        <v>0</v>
      </c>
      <c r="DH114" s="8">
        <f t="shared" si="154"/>
        <v>0</v>
      </c>
      <c r="DI114" s="8">
        <f t="shared" si="155"/>
        <v>0</v>
      </c>
      <c r="DJ114" s="8">
        <f t="shared" si="156"/>
        <v>0</v>
      </c>
      <c r="DK114" s="8">
        <f t="shared" si="157"/>
        <v>0</v>
      </c>
      <c r="DL114" s="8">
        <f t="shared" si="158"/>
        <v>0</v>
      </c>
      <c r="DM114" s="8">
        <f t="shared" si="159"/>
        <v>0</v>
      </c>
      <c r="DN114" s="8">
        <f t="shared" si="160"/>
        <v>0</v>
      </c>
      <c r="DO114" s="177"/>
      <c r="DP114" s="141"/>
      <c r="DQ114" s="141"/>
      <c r="DR114" s="141"/>
      <c r="DS114" s="141"/>
      <c r="DT114" s="141" t="s">
        <v>417</v>
      </c>
      <c r="DU114" s="141" t="s">
        <v>417</v>
      </c>
      <c r="DV114" s="141"/>
      <c r="DW114" s="141"/>
      <c r="DX114" s="141"/>
      <c r="DY114" s="141"/>
      <c r="DZ114" s="141"/>
      <c r="EA114" s="141"/>
      <c r="EB114" s="141"/>
      <c r="EC114" s="141"/>
      <c r="ED114" s="141"/>
      <c r="EE114" s="141"/>
      <c r="EF114" s="141"/>
      <c r="EG114" s="141" t="s">
        <v>417</v>
      </c>
      <c r="EH114" s="141"/>
      <c r="EI114" s="141"/>
      <c r="EJ114" s="142"/>
      <c r="EK114" s="180"/>
    </row>
    <row r="115" spans="2:141" x14ac:dyDescent="0.25">
      <c r="B115" s="69" t="str">
        <f>IF(Profession="","",IF(HLOOKUP(Profession,Skills!$DO$3:$EK$126,ROW(D115)-2,FALSE)="","",HLOOKUP(Profession,Skills!$DO$3:$EK$126,ROW(D115)-2,FALSE)))</f>
        <v/>
      </c>
      <c r="C115" s="32"/>
      <c r="D115" s="35" t="s">
        <v>105</v>
      </c>
      <c r="E115" s="35" t="str">
        <f t="shared" si="190"/>
        <v>Crafting</v>
      </c>
      <c r="F115" s="164"/>
      <c r="G115" s="33">
        <f t="shared" ca="1" si="164"/>
        <v>-25</v>
      </c>
      <c r="H115" s="33">
        <f ca="1">SUM(O115:(OFFSET(O115,0,Level)))</f>
        <v>0</v>
      </c>
      <c r="I115" s="33">
        <f t="shared" ca="1" si="191"/>
        <v>-25</v>
      </c>
      <c r="J115" s="33">
        <f t="shared" si="189"/>
        <v>0</v>
      </c>
      <c r="K115" s="33">
        <f t="shared" ca="1" si="192"/>
        <v>0</v>
      </c>
      <c r="L115" s="168"/>
      <c r="M115" s="33" t="str">
        <f t="shared" si="162"/>
        <v>Ag/SD/Me</v>
      </c>
      <c r="N115" s="33" t="str">
        <f t="shared" si="163"/>
        <v>2/4</v>
      </c>
      <c r="O115" s="171"/>
      <c r="P115" s="168"/>
      <c r="Q115" s="168"/>
      <c r="R115" s="168"/>
      <c r="S115" s="168"/>
      <c r="T115" s="168"/>
      <c r="U115" s="164"/>
      <c r="V115" s="164"/>
      <c r="W115" s="164"/>
      <c r="X115" s="164"/>
      <c r="Y115" s="164"/>
      <c r="Z115" s="164"/>
      <c r="AA115" s="164"/>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c r="BA115" s="168"/>
      <c r="BB115" s="168"/>
      <c r="BC115" s="168"/>
      <c r="BD115" s="168"/>
      <c r="BE115" s="168"/>
      <c r="BF115" s="168"/>
      <c r="BG115" s="168"/>
      <c r="BH115" s="168"/>
      <c r="BI115" s="168"/>
      <c r="BJ115" s="168"/>
      <c r="BK115" s="168"/>
      <c r="BL115" s="168"/>
      <c r="BM115" s="173"/>
      <c r="BO115" s="27" t="str">
        <f t="shared" si="165"/>
        <v>2</v>
      </c>
      <c r="BP115" s="8" t="str">
        <f t="shared" si="166"/>
        <v>4</v>
      </c>
      <c r="BQ115" s="8">
        <f t="shared" si="167"/>
        <v>0</v>
      </c>
      <c r="BR115" s="8">
        <f t="shared" si="168"/>
        <v>0</v>
      </c>
      <c r="BS115" s="8">
        <f t="shared" si="169"/>
        <v>0</v>
      </c>
      <c r="BT115" s="8">
        <f t="shared" si="170"/>
        <v>0</v>
      </c>
      <c r="BU115" s="8">
        <f t="shared" si="171"/>
        <v>0</v>
      </c>
      <c r="BV115" s="8">
        <f t="shared" si="172"/>
        <v>0</v>
      </c>
      <c r="BW115" s="8">
        <f t="shared" si="173"/>
        <v>0</v>
      </c>
      <c r="BX115" s="8">
        <f t="shared" si="174"/>
        <v>0</v>
      </c>
      <c r="BY115" s="8">
        <f t="shared" si="175"/>
        <v>0</v>
      </c>
      <c r="BZ115" s="8">
        <f t="shared" si="176"/>
        <v>0</v>
      </c>
      <c r="CA115" s="8">
        <f t="shared" si="177"/>
        <v>0</v>
      </c>
      <c r="CB115" s="8">
        <f t="shared" si="178"/>
        <v>0</v>
      </c>
      <c r="CC115" s="8">
        <f t="shared" si="179"/>
        <v>0</v>
      </c>
      <c r="CD115" s="8">
        <f t="shared" si="180"/>
        <v>0</v>
      </c>
      <c r="CE115" s="8">
        <f t="shared" si="181"/>
        <v>0</v>
      </c>
      <c r="CF115" s="8">
        <f t="shared" si="182"/>
        <v>0</v>
      </c>
      <c r="CG115" s="8">
        <f t="shared" si="183"/>
        <v>0</v>
      </c>
      <c r="CH115" s="8">
        <f t="shared" si="184"/>
        <v>0</v>
      </c>
      <c r="CI115" s="8">
        <f t="shared" si="185"/>
        <v>0</v>
      </c>
      <c r="CJ115" s="8">
        <f t="shared" si="186"/>
        <v>0</v>
      </c>
      <c r="CK115" s="8">
        <f t="shared" si="186"/>
        <v>0</v>
      </c>
      <c r="CL115" s="8">
        <f t="shared" si="186"/>
        <v>0</v>
      </c>
      <c r="CM115" s="8">
        <f t="shared" si="186"/>
        <v>0</v>
      </c>
      <c r="CN115" s="8">
        <f t="shared" si="186"/>
        <v>0</v>
      </c>
      <c r="CO115" s="8">
        <f t="shared" si="186"/>
        <v>0</v>
      </c>
      <c r="CP115" s="8">
        <f t="shared" si="186"/>
        <v>0</v>
      </c>
      <c r="CQ115" s="8">
        <f t="shared" si="137"/>
        <v>0</v>
      </c>
      <c r="CR115" s="8">
        <f t="shared" si="138"/>
        <v>0</v>
      </c>
      <c r="CS115" s="8">
        <f t="shared" si="139"/>
        <v>0</v>
      </c>
      <c r="CT115" s="8">
        <f t="shared" si="140"/>
        <v>0</v>
      </c>
      <c r="CU115" s="8">
        <f t="shared" si="141"/>
        <v>0</v>
      </c>
      <c r="CV115" s="8">
        <f t="shared" si="142"/>
        <v>0</v>
      </c>
      <c r="CW115" s="8">
        <f t="shared" si="143"/>
        <v>0</v>
      </c>
      <c r="CX115" s="8">
        <f t="shared" si="144"/>
        <v>0</v>
      </c>
      <c r="CY115" s="8">
        <f t="shared" si="145"/>
        <v>0</v>
      </c>
      <c r="CZ115" s="8">
        <f t="shared" si="146"/>
        <v>0</v>
      </c>
      <c r="DA115" s="8">
        <f t="shared" si="147"/>
        <v>0</v>
      </c>
      <c r="DB115" s="8">
        <f t="shared" si="148"/>
        <v>0</v>
      </c>
      <c r="DC115" s="8">
        <f t="shared" si="149"/>
        <v>0</v>
      </c>
      <c r="DD115" s="8">
        <f t="shared" si="150"/>
        <v>0</v>
      </c>
      <c r="DE115" s="8">
        <f t="shared" si="151"/>
        <v>0</v>
      </c>
      <c r="DF115" s="8">
        <f t="shared" si="152"/>
        <v>0</v>
      </c>
      <c r="DG115" s="8">
        <f t="shared" si="153"/>
        <v>0</v>
      </c>
      <c r="DH115" s="8">
        <f t="shared" si="154"/>
        <v>0</v>
      </c>
      <c r="DI115" s="8">
        <f t="shared" si="155"/>
        <v>0</v>
      </c>
      <c r="DJ115" s="8">
        <f t="shared" si="156"/>
        <v>0</v>
      </c>
      <c r="DK115" s="8">
        <f t="shared" si="157"/>
        <v>0</v>
      </c>
      <c r="DL115" s="8">
        <f t="shared" si="158"/>
        <v>0</v>
      </c>
      <c r="DM115" s="8">
        <f t="shared" si="159"/>
        <v>0</v>
      </c>
      <c r="DN115" s="8">
        <f t="shared" si="160"/>
        <v>0</v>
      </c>
      <c r="DO115" s="177"/>
      <c r="DP115" s="141"/>
      <c r="DQ115" s="141"/>
      <c r="DR115" s="141"/>
      <c r="DS115" s="141"/>
      <c r="DT115" s="141" t="s">
        <v>417</v>
      </c>
      <c r="DU115" s="141" t="s">
        <v>417</v>
      </c>
      <c r="DV115" s="141"/>
      <c r="DW115" s="141"/>
      <c r="DX115" s="141"/>
      <c r="DY115" s="141"/>
      <c r="DZ115" s="141"/>
      <c r="EA115" s="141"/>
      <c r="EB115" s="141"/>
      <c r="EC115" s="141"/>
      <c r="ED115" s="141"/>
      <c r="EE115" s="141"/>
      <c r="EF115" s="141"/>
      <c r="EG115" s="141" t="s">
        <v>417</v>
      </c>
      <c r="EH115" s="141"/>
      <c r="EI115" s="141"/>
      <c r="EJ115" s="142"/>
      <c r="EK115" s="180"/>
    </row>
    <row r="116" spans="2:141" x14ac:dyDescent="0.25">
      <c r="B116" s="69" t="str">
        <f>IF(Profession="","",IF(HLOOKUP(Profession,Skills!$DO$3:$EK$126,ROW(D116)-2,FALSE)="","",HLOOKUP(Profession,Skills!$DO$3:$EK$126,ROW(D116)-2,FALSE)))</f>
        <v/>
      </c>
      <c r="C116" s="32"/>
      <c r="D116" s="35" t="s">
        <v>106</v>
      </c>
      <c r="E116" s="35" t="str">
        <f t="shared" si="190"/>
        <v>Mechanical</v>
      </c>
      <c r="F116" s="164" t="s">
        <v>272</v>
      </c>
      <c r="G116" s="33">
        <f t="shared" ca="1" si="164"/>
        <v>-25</v>
      </c>
      <c r="H116" s="33">
        <f ca="1">SUM(O116:(OFFSET(O116,0,Level)))</f>
        <v>0</v>
      </c>
      <c r="I116" s="33">
        <f t="shared" ca="1" si="191"/>
        <v>-25</v>
      </c>
      <c r="J116" s="33">
        <f t="shared" si="189"/>
        <v>0</v>
      </c>
      <c r="K116" s="33">
        <f t="shared" ca="1" si="192"/>
        <v>0</v>
      </c>
      <c r="L116" s="168"/>
      <c r="M116" s="33" t="str">
        <f t="shared" si="162"/>
        <v>Ag/Re/In</v>
      </c>
      <c r="N116" s="33" t="str">
        <f t="shared" si="163"/>
        <v>4/6</v>
      </c>
      <c r="O116" s="131"/>
      <c r="P116" s="168"/>
      <c r="Q116" s="168"/>
      <c r="R116" s="168"/>
      <c r="S116" s="168"/>
      <c r="T116" s="168"/>
      <c r="U116" s="164"/>
      <c r="V116" s="164"/>
      <c r="W116" s="164"/>
      <c r="X116" s="164"/>
      <c r="Y116" s="164"/>
      <c r="Z116" s="164"/>
      <c r="AA116" s="164"/>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c r="BA116" s="168"/>
      <c r="BB116" s="168"/>
      <c r="BC116" s="168"/>
      <c r="BD116" s="168"/>
      <c r="BE116" s="168"/>
      <c r="BF116" s="168"/>
      <c r="BG116" s="168"/>
      <c r="BH116" s="168"/>
      <c r="BI116" s="168"/>
      <c r="BJ116" s="168"/>
      <c r="BK116" s="168"/>
      <c r="BL116" s="168"/>
      <c r="BM116" s="173"/>
      <c r="BO116" s="27" t="str">
        <f t="shared" si="165"/>
        <v>4</v>
      </c>
      <c r="BP116" s="8" t="str">
        <f t="shared" si="166"/>
        <v>6</v>
      </c>
      <c r="BQ116" s="8">
        <f t="shared" si="167"/>
        <v>0</v>
      </c>
      <c r="BR116" s="8">
        <f t="shared" si="168"/>
        <v>0</v>
      </c>
      <c r="BS116" s="8">
        <f t="shared" si="169"/>
        <v>0</v>
      </c>
      <c r="BT116" s="8">
        <f t="shared" si="170"/>
        <v>0</v>
      </c>
      <c r="BU116" s="8">
        <f t="shared" si="171"/>
        <v>0</v>
      </c>
      <c r="BV116" s="8">
        <f t="shared" si="172"/>
        <v>0</v>
      </c>
      <c r="BW116" s="8">
        <f t="shared" si="173"/>
        <v>0</v>
      </c>
      <c r="BX116" s="8">
        <f t="shared" si="174"/>
        <v>0</v>
      </c>
      <c r="BY116" s="8">
        <f t="shared" si="175"/>
        <v>0</v>
      </c>
      <c r="BZ116" s="8">
        <f t="shared" si="176"/>
        <v>0</v>
      </c>
      <c r="CA116" s="8">
        <f t="shared" si="177"/>
        <v>0</v>
      </c>
      <c r="CB116" s="8">
        <f t="shared" si="178"/>
        <v>0</v>
      </c>
      <c r="CC116" s="8">
        <f t="shared" si="179"/>
        <v>0</v>
      </c>
      <c r="CD116" s="8">
        <f t="shared" si="180"/>
        <v>0</v>
      </c>
      <c r="CE116" s="8">
        <f t="shared" si="181"/>
        <v>0</v>
      </c>
      <c r="CF116" s="8">
        <f t="shared" si="182"/>
        <v>0</v>
      </c>
      <c r="CG116" s="8">
        <f t="shared" si="183"/>
        <v>0</v>
      </c>
      <c r="CH116" s="8">
        <f t="shared" si="184"/>
        <v>0</v>
      </c>
      <c r="CI116" s="8">
        <f t="shared" si="185"/>
        <v>0</v>
      </c>
      <c r="CJ116" s="8">
        <f t="shared" si="186"/>
        <v>0</v>
      </c>
      <c r="CK116" s="8">
        <f t="shared" si="186"/>
        <v>0</v>
      </c>
      <c r="CL116" s="8">
        <f t="shared" si="186"/>
        <v>0</v>
      </c>
      <c r="CM116" s="8">
        <f t="shared" si="186"/>
        <v>0</v>
      </c>
      <c r="CN116" s="8">
        <f t="shared" si="186"/>
        <v>0</v>
      </c>
      <c r="CO116" s="8">
        <f t="shared" si="186"/>
        <v>0</v>
      </c>
      <c r="CP116" s="8">
        <f t="shared" si="186"/>
        <v>0</v>
      </c>
      <c r="CQ116" s="8">
        <f t="shared" si="137"/>
        <v>0</v>
      </c>
      <c r="CR116" s="8">
        <f t="shared" si="138"/>
        <v>0</v>
      </c>
      <c r="CS116" s="8">
        <f t="shared" si="139"/>
        <v>0</v>
      </c>
      <c r="CT116" s="8">
        <f t="shared" si="140"/>
        <v>0</v>
      </c>
      <c r="CU116" s="8">
        <f t="shared" si="141"/>
        <v>0</v>
      </c>
      <c r="CV116" s="8">
        <f t="shared" si="142"/>
        <v>0</v>
      </c>
      <c r="CW116" s="8">
        <f t="shared" si="143"/>
        <v>0</v>
      </c>
      <c r="CX116" s="8">
        <f t="shared" si="144"/>
        <v>0</v>
      </c>
      <c r="CY116" s="8">
        <f t="shared" si="145"/>
        <v>0</v>
      </c>
      <c r="CZ116" s="8">
        <f t="shared" si="146"/>
        <v>0</v>
      </c>
      <c r="DA116" s="8">
        <f t="shared" si="147"/>
        <v>0</v>
      </c>
      <c r="DB116" s="8">
        <f t="shared" si="148"/>
        <v>0</v>
      </c>
      <c r="DC116" s="8">
        <f t="shared" si="149"/>
        <v>0</v>
      </c>
      <c r="DD116" s="8">
        <f t="shared" si="150"/>
        <v>0</v>
      </c>
      <c r="DE116" s="8">
        <f t="shared" si="151"/>
        <v>0</v>
      </c>
      <c r="DF116" s="8">
        <f t="shared" si="152"/>
        <v>0</v>
      </c>
      <c r="DG116" s="8">
        <f t="shared" si="153"/>
        <v>0</v>
      </c>
      <c r="DH116" s="8">
        <f t="shared" si="154"/>
        <v>0</v>
      </c>
      <c r="DI116" s="8">
        <f t="shared" si="155"/>
        <v>0</v>
      </c>
      <c r="DJ116" s="8">
        <f t="shared" si="156"/>
        <v>0</v>
      </c>
      <c r="DK116" s="8">
        <f t="shared" si="157"/>
        <v>0</v>
      </c>
      <c r="DL116" s="8">
        <f t="shared" si="158"/>
        <v>0</v>
      </c>
      <c r="DM116" s="8">
        <f t="shared" si="159"/>
        <v>0</v>
      </c>
      <c r="DN116" s="8">
        <f t="shared" si="160"/>
        <v>0</v>
      </c>
      <c r="DO116" s="177"/>
      <c r="DP116" s="141"/>
      <c r="DQ116" s="141"/>
      <c r="DR116" s="141"/>
      <c r="DS116" s="141"/>
      <c r="DT116" s="141" t="s">
        <v>417</v>
      </c>
      <c r="DU116" s="141" t="s">
        <v>417</v>
      </c>
      <c r="DV116" s="141"/>
      <c r="DW116" s="141"/>
      <c r="DX116" s="141"/>
      <c r="DY116" s="141" t="s">
        <v>417</v>
      </c>
      <c r="DZ116" s="141"/>
      <c r="EA116" s="141" t="s">
        <v>417</v>
      </c>
      <c r="EB116" s="141"/>
      <c r="EC116" s="141"/>
      <c r="ED116" s="141"/>
      <c r="EE116" s="141"/>
      <c r="EF116" s="141"/>
      <c r="EG116" s="141"/>
      <c r="EH116" s="141"/>
      <c r="EI116" s="141"/>
      <c r="EJ116" s="142"/>
      <c r="EK116" s="180"/>
    </row>
    <row r="117" spans="2:141" x14ac:dyDescent="0.25">
      <c r="B117" s="69" t="str">
        <f>IF(Profession="","",IF(HLOOKUP(Profession,Skills!$DO$3:$EK$126,ROW(D117)-2,FALSE)="","",HLOOKUP(Profession,Skills!$DO$3:$EK$126,ROW(D117)-2,FALSE)))</f>
        <v/>
      </c>
      <c r="C117" s="32"/>
      <c r="D117" s="35" t="s">
        <v>106</v>
      </c>
      <c r="E117" s="35" t="str">
        <f t="shared" si="190"/>
        <v>Mechanical</v>
      </c>
      <c r="F117" s="164" t="s">
        <v>273</v>
      </c>
      <c r="G117" s="33">
        <f t="shared" ca="1" si="164"/>
        <v>-25</v>
      </c>
      <c r="H117" s="33">
        <f ca="1">SUM(O117:(OFFSET(O117,0,Level)))</f>
        <v>0</v>
      </c>
      <c r="I117" s="33">
        <f ca="1">IF(Level=0,"",VLOOKUP(H117,RankBonus,2,FALSE))</f>
        <v>-25</v>
      </c>
      <c r="J117" s="33">
        <f>IF(OR(M117="",M117="-"),0,VLOOKUP(MID(M117,1,2),StatBonuses,2,FALSE)+VLOOKUP(MID(M117,4,2),StatBonuses,2,FALSE)+VLOOKUP(MID(M117,7,2),StatBonuses,2,FALSE))</f>
        <v>0</v>
      </c>
      <c r="K117" s="33">
        <f t="shared" ca="1" si="192"/>
        <v>0</v>
      </c>
      <c r="L117" s="168"/>
      <c r="M117" s="33" t="str">
        <f>IF(D117="","",VLOOKUP(D117,DPCosts,2,FALSE))</f>
        <v>Ag/Re/In</v>
      </c>
      <c r="N117" s="33" t="str">
        <f>IF(OR(D117="", Profession=""),"",VLOOKUP(D117,DPCosts,MATCH(Profession,Professions,0)+2,FALSE))</f>
        <v>4/6</v>
      </c>
      <c r="O117" s="131"/>
      <c r="P117" s="168"/>
      <c r="Q117" s="168"/>
      <c r="R117" s="168"/>
      <c r="S117" s="168"/>
      <c r="T117" s="168"/>
      <c r="U117" s="164"/>
      <c r="V117" s="164"/>
      <c r="W117" s="164"/>
      <c r="X117" s="164"/>
      <c r="Y117" s="164"/>
      <c r="Z117" s="164"/>
      <c r="AA117" s="164"/>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c r="BA117" s="168"/>
      <c r="BB117" s="168"/>
      <c r="BC117" s="168"/>
      <c r="BD117" s="168"/>
      <c r="BE117" s="168"/>
      <c r="BF117" s="168"/>
      <c r="BG117" s="168"/>
      <c r="BH117" s="168"/>
      <c r="BI117" s="168"/>
      <c r="BJ117" s="168"/>
      <c r="BK117" s="168"/>
      <c r="BL117" s="168"/>
      <c r="BM117" s="173"/>
      <c r="BO117" s="27" t="str">
        <f t="shared" si="165"/>
        <v>4</v>
      </c>
      <c r="BP117" s="8" t="str">
        <f t="shared" si="166"/>
        <v>6</v>
      </c>
      <c r="BQ117" s="8">
        <f t="shared" si="167"/>
        <v>0</v>
      </c>
      <c r="BR117" s="8">
        <f t="shared" si="168"/>
        <v>0</v>
      </c>
      <c r="BS117" s="8">
        <f t="shared" si="169"/>
        <v>0</v>
      </c>
      <c r="BT117" s="8">
        <f t="shared" si="170"/>
        <v>0</v>
      </c>
      <c r="BU117" s="8">
        <f t="shared" si="171"/>
        <v>0</v>
      </c>
      <c r="BV117" s="8">
        <f t="shared" si="172"/>
        <v>0</v>
      </c>
      <c r="BW117" s="8">
        <f t="shared" si="173"/>
        <v>0</v>
      </c>
      <c r="BX117" s="8">
        <f t="shared" si="174"/>
        <v>0</v>
      </c>
      <c r="BY117" s="8">
        <f t="shared" si="175"/>
        <v>0</v>
      </c>
      <c r="BZ117" s="8">
        <f t="shared" si="176"/>
        <v>0</v>
      </c>
      <c r="CA117" s="8">
        <f t="shared" si="177"/>
        <v>0</v>
      </c>
      <c r="CB117" s="8">
        <f t="shared" si="178"/>
        <v>0</v>
      </c>
      <c r="CC117" s="8">
        <f t="shared" si="179"/>
        <v>0</v>
      </c>
      <c r="CD117" s="8">
        <f t="shared" si="180"/>
        <v>0</v>
      </c>
      <c r="CE117" s="8">
        <f t="shared" si="181"/>
        <v>0</v>
      </c>
      <c r="CF117" s="8">
        <f t="shared" si="182"/>
        <v>0</v>
      </c>
      <c r="CG117" s="8">
        <f t="shared" si="183"/>
        <v>0</v>
      </c>
      <c r="CH117" s="8">
        <f t="shared" si="184"/>
        <v>0</v>
      </c>
      <c r="CI117" s="8">
        <f t="shared" si="185"/>
        <v>0</v>
      </c>
      <c r="CJ117" s="8">
        <f t="shared" si="186"/>
        <v>0</v>
      </c>
      <c r="CK117" s="8">
        <f t="shared" si="186"/>
        <v>0</v>
      </c>
      <c r="CL117" s="8">
        <f t="shared" si="186"/>
        <v>0</v>
      </c>
      <c r="CM117" s="8">
        <f t="shared" si="186"/>
        <v>0</v>
      </c>
      <c r="CN117" s="8">
        <f t="shared" si="186"/>
        <v>0</v>
      </c>
      <c r="CO117" s="8">
        <f t="shared" si="186"/>
        <v>0</v>
      </c>
      <c r="CP117" s="8">
        <f t="shared" si="186"/>
        <v>0</v>
      </c>
      <c r="CQ117" s="8">
        <f t="shared" si="137"/>
        <v>0</v>
      </c>
      <c r="CR117" s="8">
        <f t="shared" si="138"/>
        <v>0</v>
      </c>
      <c r="CS117" s="8">
        <f t="shared" si="139"/>
        <v>0</v>
      </c>
      <c r="CT117" s="8">
        <f t="shared" si="140"/>
        <v>0</v>
      </c>
      <c r="CU117" s="8">
        <f t="shared" si="141"/>
        <v>0</v>
      </c>
      <c r="CV117" s="8">
        <f t="shared" si="142"/>
        <v>0</v>
      </c>
      <c r="CW117" s="8">
        <f t="shared" si="143"/>
        <v>0</v>
      </c>
      <c r="CX117" s="8">
        <f t="shared" si="144"/>
        <v>0</v>
      </c>
      <c r="CY117" s="8">
        <f t="shared" si="145"/>
        <v>0</v>
      </c>
      <c r="CZ117" s="8">
        <f t="shared" si="146"/>
        <v>0</v>
      </c>
      <c r="DA117" s="8">
        <f t="shared" si="147"/>
        <v>0</v>
      </c>
      <c r="DB117" s="8">
        <f t="shared" si="148"/>
        <v>0</v>
      </c>
      <c r="DC117" s="8">
        <f t="shared" si="149"/>
        <v>0</v>
      </c>
      <c r="DD117" s="8">
        <f t="shared" si="150"/>
        <v>0</v>
      </c>
      <c r="DE117" s="8">
        <f t="shared" si="151"/>
        <v>0</v>
      </c>
      <c r="DF117" s="8">
        <f t="shared" si="152"/>
        <v>0</v>
      </c>
      <c r="DG117" s="8">
        <f t="shared" si="153"/>
        <v>0</v>
      </c>
      <c r="DH117" s="8">
        <f t="shared" si="154"/>
        <v>0</v>
      </c>
      <c r="DI117" s="8">
        <f t="shared" si="155"/>
        <v>0</v>
      </c>
      <c r="DJ117" s="8">
        <f t="shared" si="156"/>
        <v>0</v>
      </c>
      <c r="DK117" s="8">
        <f t="shared" si="157"/>
        <v>0</v>
      </c>
      <c r="DL117" s="8">
        <f t="shared" si="158"/>
        <v>0</v>
      </c>
      <c r="DM117" s="8">
        <f t="shared" si="159"/>
        <v>0</v>
      </c>
      <c r="DN117" s="8">
        <f t="shared" si="160"/>
        <v>0</v>
      </c>
      <c r="DO117" s="177"/>
      <c r="DP117" s="141"/>
      <c r="DQ117" s="141"/>
      <c r="DR117" s="141"/>
      <c r="DS117" s="141"/>
      <c r="DT117" s="141" t="s">
        <v>417</v>
      </c>
      <c r="DU117" s="141" t="s">
        <v>417</v>
      </c>
      <c r="DV117" s="141"/>
      <c r="DW117" s="141"/>
      <c r="DX117" s="141"/>
      <c r="DY117" s="141" t="s">
        <v>417</v>
      </c>
      <c r="DZ117" s="141"/>
      <c r="EA117" s="141" t="s">
        <v>417</v>
      </c>
      <c r="EB117" s="141"/>
      <c r="EC117" s="141"/>
      <c r="ED117" s="141"/>
      <c r="EE117" s="141"/>
      <c r="EF117" s="141"/>
      <c r="EG117" s="141"/>
      <c r="EH117" s="141"/>
      <c r="EI117" s="141"/>
      <c r="EJ117" s="142"/>
      <c r="EK117" s="180"/>
    </row>
    <row r="118" spans="2:141" x14ac:dyDescent="0.25">
      <c r="B118" s="69" t="str">
        <f>IF(Profession="","",IF(HLOOKUP(Profession,Skills!$DO$3:$EK$126,ROW(D118)-2,FALSE)="","",HLOOKUP(Profession,Skills!$DO$3:$EK$126,ROW(D118)-2,FALSE)))</f>
        <v/>
      </c>
      <c r="C118" s="32"/>
      <c r="D118" s="35" t="s">
        <v>106</v>
      </c>
      <c r="E118" s="35" t="str">
        <f t="shared" si="190"/>
        <v>Mechanical</v>
      </c>
      <c r="F118" s="164"/>
      <c r="G118" s="33">
        <f t="shared" ca="1" si="164"/>
        <v>-25</v>
      </c>
      <c r="H118" s="33">
        <f ca="1">SUM(O118:(OFFSET(O118,0,Level)))</f>
        <v>0</v>
      </c>
      <c r="I118" s="33">
        <f t="shared" ca="1" si="191"/>
        <v>-25</v>
      </c>
      <c r="J118" s="33">
        <f t="shared" si="189"/>
        <v>0</v>
      </c>
      <c r="K118" s="33">
        <f t="shared" ca="1" si="192"/>
        <v>0</v>
      </c>
      <c r="L118" s="168"/>
      <c r="M118" s="33" t="str">
        <f t="shared" si="162"/>
        <v>Ag/Re/In</v>
      </c>
      <c r="N118" s="33" t="str">
        <f t="shared" si="163"/>
        <v>4/6</v>
      </c>
      <c r="O118" s="131" t="str">
        <f>IF(OR(D118="",Culture=""),"",VLOOKUP("Mechanical: Choice",CultureRanks,MATCH(Culture,CultureList,0)+1,FALSE))</f>
        <v/>
      </c>
      <c r="P118" s="168"/>
      <c r="Q118" s="168"/>
      <c r="R118" s="168"/>
      <c r="S118" s="168"/>
      <c r="T118" s="168"/>
      <c r="U118" s="164"/>
      <c r="V118" s="164"/>
      <c r="W118" s="164"/>
      <c r="X118" s="164"/>
      <c r="Y118" s="164"/>
      <c r="Z118" s="164"/>
      <c r="AA118" s="164"/>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c r="BA118" s="168"/>
      <c r="BB118" s="168"/>
      <c r="BC118" s="168"/>
      <c r="BD118" s="168"/>
      <c r="BE118" s="168"/>
      <c r="BF118" s="168"/>
      <c r="BG118" s="168"/>
      <c r="BH118" s="168"/>
      <c r="BI118" s="168"/>
      <c r="BJ118" s="168"/>
      <c r="BK118" s="168"/>
      <c r="BL118" s="168"/>
      <c r="BM118" s="173"/>
      <c r="BO118" s="27" t="str">
        <f t="shared" si="165"/>
        <v>4</v>
      </c>
      <c r="BP118" s="8" t="str">
        <f t="shared" si="166"/>
        <v>6</v>
      </c>
      <c r="BQ118" s="8">
        <f t="shared" si="167"/>
        <v>0</v>
      </c>
      <c r="BR118" s="8">
        <f t="shared" si="168"/>
        <v>0</v>
      </c>
      <c r="BS118" s="8">
        <f t="shared" si="169"/>
        <v>0</v>
      </c>
      <c r="BT118" s="8">
        <f t="shared" si="170"/>
        <v>0</v>
      </c>
      <c r="BU118" s="8">
        <f t="shared" si="171"/>
        <v>0</v>
      </c>
      <c r="BV118" s="8">
        <f t="shared" si="172"/>
        <v>0</v>
      </c>
      <c r="BW118" s="8">
        <f t="shared" si="173"/>
        <v>0</v>
      </c>
      <c r="BX118" s="8">
        <f t="shared" si="174"/>
        <v>0</v>
      </c>
      <c r="BY118" s="8">
        <f t="shared" si="175"/>
        <v>0</v>
      </c>
      <c r="BZ118" s="8">
        <f t="shared" si="176"/>
        <v>0</v>
      </c>
      <c r="CA118" s="8">
        <f t="shared" si="177"/>
        <v>0</v>
      </c>
      <c r="CB118" s="8">
        <f t="shared" si="178"/>
        <v>0</v>
      </c>
      <c r="CC118" s="8">
        <f t="shared" si="179"/>
        <v>0</v>
      </c>
      <c r="CD118" s="8">
        <f t="shared" si="180"/>
        <v>0</v>
      </c>
      <c r="CE118" s="8">
        <f t="shared" si="181"/>
        <v>0</v>
      </c>
      <c r="CF118" s="8">
        <f t="shared" si="182"/>
        <v>0</v>
      </c>
      <c r="CG118" s="8">
        <f t="shared" si="183"/>
        <v>0</v>
      </c>
      <c r="CH118" s="8">
        <f t="shared" si="184"/>
        <v>0</v>
      </c>
      <c r="CI118" s="8">
        <f t="shared" si="185"/>
        <v>0</v>
      </c>
      <c r="CJ118" s="8">
        <f t="shared" si="186"/>
        <v>0</v>
      </c>
      <c r="CK118" s="8">
        <f t="shared" si="186"/>
        <v>0</v>
      </c>
      <c r="CL118" s="8">
        <f t="shared" si="186"/>
        <v>0</v>
      </c>
      <c r="CM118" s="8">
        <f t="shared" si="186"/>
        <v>0</v>
      </c>
      <c r="CN118" s="8">
        <f t="shared" si="186"/>
        <v>0</v>
      </c>
      <c r="CO118" s="8">
        <f t="shared" si="186"/>
        <v>0</v>
      </c>
      <c r="CP118" s="8">
        <f t="shared" si="186"/>
        <v>0</v>
      </c>
      <c r="CQ118" s="8">
        <f t="shared" si="137"/>
        <v>0</v>
      </c>
      <c r="CR118" s="8">
        <f t="shared" si="138"/>
        <v>0</v>
      </c>
      <c r="CS118" s="8">
        <f t="shared" si="139"/>
        <v>0</v>
      </c>
      <c r="CT118" s="8">
        <f t="shared" si="140"/>
        <v>0</v>
      </c>
      <c r="CU118" s="8">
        <f t="shared" si="141"/>
        <v>0</v>
      </c>
      <c r="CV118" s="8">
        <f t="shared" si="142"/>
        <v>0</v>
      </c>
      <c r="CW118" s="8">
        <f t="shared" si="143"/>
        <v>0</v>
      </c>
      <c r="CX118" s="8">
        <f t="shared" si="144"/>
        <v>0</v>
      </c>
      <c r="CY118" s="8">
        <f t="shared" si="145"/>
        <v>0</v>
      </c>
      <c r="CZ118" s="8">
        <f t="shared" si="146"/>
        <v>0</v>
      </c>
      <c r="DA118" s="8">
        <f t="shared" si="147"/>
        <v>0</v>
      </c>
      <c r="DB118" s="8">
        <f t="shared" si="148"/>
        <v>0</v>
      </c>
      <c r="DC118" s="8">
        <f t="shared" si="149"/>
        <v>0</v>
      </c>
      <c r="DD118" s="8">
        <f t="shared" si="150"/>
        <v>0</v>
      </c>
      <c r="DE118" s="8">
        <f t="shared" si="151"/>
        <v>0</v>
      </c>
      <c r="DF118" s="8">
        <f t="shared" si="152"/>
        <v>0</v>
      </c>
      <c r="DG118" s="8">
        <f t="shared" si="153"/>
        <v>0</v>
      </c>
      <c r="DH118" s="8">
        <f t="shared" si="154"/>
        <v>0</v>
      </c>
      <c r="DI118" s="8">
        <f t="shared" si="155"/>
        <v>0</v>
      </c>
      <c r="DJ118" s="8">
        <f t="shared" si="156"/>
        <v>0</v>
      </c>
      <c r="DK118" s="8">
        <f t="shared" si="157"/>
        <v>0</v>
      </c>
      <c r="DL118" s="8">
        <f t="shared" si="158"/>
        <v>0</v>
      </c>
      <c r="DM118" s="8">
        <f t="shared" si="159"/>
        <v>0</v>
      </c>
      <c r="DN118" s="8">
        <f t="shared" si="160"/>
        <v>0</v>
      </c>
      <c r="DO118" s="177"/>
      <c r="DP118" s="141"/>
      <c r="DQ118" s="141"/>
      <c r="DR118" s="141"/>
      <c r="DS118" s="141"/>
      <c r="DT118" s="141" t="s">
        <v>417</v>
      </c>
      <c r="DU118" s="141" t="s">
        <v>417</v>
      </c>
      <c r="DV118" s="141"/>
      <c r="DW118" s="141"/>
      <c r="DX118" s="141"/>
      <c r="DY118" s="141" t="s">
        <v>417</v>
      </c>
      <c r="DZ118" s="141"/>
      <c r="EA118" s="141" t="s">
        <v>417</v>
      </c>
      <c r="EB118" s="141"/>
      <c r="EC118" s="141"/>
      <c r="ED118" s="141"/>
      <c r="EE118" s="141"/>
      <c r="EF118" s="141"/>
      <c r="EG118" s="141"/>
      <c r="EH118" s="141"/>
      <c r="EI118" s="141"/>
      <c r="EJ118" s="142"/>
      <c r="EK118" s="180"/>
    </row>
    <row r="119" spans="2:141" x14ac:dyDescent="0.25">
      <c r="B119" s="69" t="str">
        <f>IF(Profession="","",IF(HLOOKUP(Profession,Skills!$DO$3:$EK$126,ROW(D119)-2,FALSE)="","",HLOOKUP(Profession,Skills!$DO$3:$EK$126,ROW(D119)-2,FALSE)))</f>
        <v/>
      </c>
      <c r="C119" s="32"/>
      <c r="D119" s="35" t="s">
        <v>107</v>
      </c>
      <c r="E119" s="35" t="str">
        <f t="shared" si="190"/>
        <v>Medical</v>
      </c>
      <c r="F119" s="164" t="s">
        <v>269</v>
      </c>
      <c r="G119" s="33">
        <f t="shared" ca="1" si="164"/>
        <v>-25</v>
      </c>
      <c r="H119" s="33">
        <f ca="1">SUM(O119:(OFFSET(O119,0,Level)))</f>
        <v>0</v>
      </c>
      <c r="I119" s="33">
        <f t="shared" ca="1" si="191"/>
        <v>-25</v>
      </c>
      <c r="J119" s="33">
        <f t="shared" si="189"/>
        <v>0</v>
      </c>
      <c r="K119" s="33">
        <f t="shared" ca="1" si="192"/>
        <v>0</v>
      </c>
      <c r="L119" s="168"/>
      <c r="M119" s="33" t="str">
        <f t="shared" si="162"/>
        <v>Me/Re/In</v>
      </c>
      <c r="N119" s="33" t="str">
        <f t="shared" si="163"/>
        <v>3/4</v>
      </c>
      <c r="O119" s="131"/>
      <c r="P119" s="168"/>
      <c r="Q119" s="168"/>
      <c r="R119" s="168"/>
      <c r="S119" s="168"/>
      <c r="T119" s="168"/>
      <c r="U119" s="164"/>
      <c r="V119" s="164"/>
      <c r="W119" s="164"/>
      <c r="X119" s="164"/>
      <c r="Y119" s="164"/>
      <c r="Z119" s="164"/>
      <c r="AA119" s="164"/>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c r="BA119" s="168"/>
      <c r="BB119" s="168"/>
      <c r="BC119" s="168"/>
      <c r="BD119" s="168"/>
      <c r="BE119" s="168"/>
      <c r="BF119" s="168"/>
      <c r="BG119" s="168"/>
      <c r="BH119" s="168"/>
      <c r="BI119" s="168"/>
      <c r="BJ119" s="168"/>
      <c r="BK119" s="168"/>
      <c r="BL119" s="168"/>
      <c r="BM119" s="173"/>
      <c r="BO119" s="27" t="str">
        <f t="shared" si="165"/>
        <v>3</v>
      </c>
      <c r="BP119" s="8" t="str">
        <f t="shared" si="166"/>
        <v>4</v>
      </c>
      <c r="BQ119" s="8">
        <f t="shared" si="167"/>
        <v>0</v>
      </c>
      <c r="BR119" s="8">
        <f t="shared" si="168"/>
        <v>0</v>
      </c>
      <c r="BS119" s="8">
        <f t="shared" si="169"/>
        <v>0</v>
      </c>
      <c r="BT119" s="8">
        <f t="shared" si="170"/>
        <v>0</v>
      </c>
      <c r="BU119" s="8">
        <f t="shared" si="171"/>
        <v>0</v>
      </c>
      <c r="BV119" s="8">
        <f t="shared" si="172"/>
        <v>0</v>
      </c>
      <c r="BW119" s="8">
        <f t="shared" si="173"/>
        <v>0</v>
      </c>
      <c r="BX119" s="8">
        <f t="shared" si="174"/>
        <v>0</v>
      </c>
      <c r="BY119" s="8">
        <f t="shared" si="175"/>
        <v>0</v>
      </c>
      <c r="BZ119" s="8">
        <f t="shared" si="176"/>
        <v>0</v>
      </c>
      <c r="CA119" s="8">
        <f t="shared" si="177"/>
        <v>0</v>
      </c>
      <c r="CB119" s="8">
        <f t="shared" si="178"/>
        <v>0</v>
      </c>
      <c r="CC119" s="8">
        <f t="shared" si="179"/>
        <v>0</v>
      </c>
      <c r="CD119" s="8">
        <f t="shared" si="180"/>
        <v>0</v>
      </c>
      <c r="CE119" s="8">
        <f t="shared" si="181"/>
        <v>0</v>
      </c>
      <c r="CF119" s="8">
        <f t="shared" si="182"/>
        <v>0</v>
      </c>
      <c r="CG119" s="8">
        <f t="shared" si="183"/>
        <v>0</v>
      </c>
      <c r="CH119" s="8">
        <f t="shared" si="184"/>
        <v>0</v>
      </c>
      <c r="CI119" s="8">
        <f t="shared" si="185"/>
        <v>0</v>
      </c>
      <c r="CJ119" s="8">
        <f t="shared" ref="CJ119:CP126" si="194">IF(AI119=0,0,IF(AI119=1,INT($BO119),$BO119+$BP119*(AI119-1)))</f>
        <v>0</v>
      </c>
      <c r="CK119" s="8">
        <f t="shared" si="194"/>
        <v>0</v>
      </c>
      <c r="CL119" s="8">
        <f t="shared" si="194"/>
        <v>0</v>
      </c>
      <c r="CM119" s="8">
        <f t="shared" si="194"/>
        <v>0</v>
      </c>
      <c r="CN119" s="8">
        <f t="shared" si="194"/>
        <v>0</v>
      </c>
      <c r="CO119" s="8">
        <f t="shared" si="194"/>
        <v>0</v>
      </c>
      <c r="CP119" s="8">
        <f t="shared" si="194"/>
        <v>0</v>
      </c>
      <c r="CQ119" s="8">
        <f t="shared" si="137"/>
        <v>0</v>
      </c>
      <c r="CR119" s="8">
        <f t="shared" si="138"/>
        <v>0</v>
      </c>
      <c r="CS119" s="8">
        <f t="shared" si="139"/>
        <v>0</v>
      </c>
      <c r="CT119" s="8">
        <f t="shared" si="140"/>
        <v>0</v>
      </c>
      <c r="CU119" s="8">
        <f t="shared" si="141"/>
        <v>0</v>
      </c>
      <c r="CV119" s="8">
        <f t="shared" si="142"/>
        <v>0</v>
      </c>
      <c r="CW119" s="8">
        <f t="shared" si="143"/>
        <v>0</v>
      </c>
      <c r="CX119" s="8">
        <f t="shared" si="144"/>
        <v>0</v>
      </c>
      <c r="CY119" s="8">
        <f t="shared" si="145"/>
        <v>0</v>
      </c>
      <c r="CZ119" s="8">
        <f t="shared" si="146"/>
        <v>0</v>
      </c>
      <c r="DA119" s="8">
        <f t="shared" si="147"/>
        <v>0</v>
      </c>
      <c r="DB119" s="8">
        <f t="shared" si="148"/>
        <v>0</v>
      </c>
      <c r="DC119" s="8">
        <f t="shared" si="149"/>
        <v>0</v>
      </c>
      <c r="DD119" s="8">
        <f t="shared" si="150"/>
        <v>0</v>
      </c>
      <c r="DE119" s="8">
        <f t="shared" si="151"/>
        <v>0</v>
      </c>
      <c r="DF119" s="8">
        <f t="shared" si="152"/>
        <v>0</v>
      </c>
      <c r="DG119" s="8">
        <f t="shared" si="153"/>
        <v>0</v>
      </c>
      <c r="DH119" s="8">
        <f t="shared" si="154"/>
        <v>0</v>
      </c>
      <c r="DI119" s="8">
        <f t="shared" si="155"/>
        <v>0</v>
      </c>
      <c r="DJ119" s="8">
        <f t="shared" si="156"/>
        <v>0</v>
      </c>
      <c r="DK119" s="8">
        <f t="shared" si="157"/>
        <v>0</v>
      </c>
      <c r="DL119" s="8">
        <f t="shared" si="158"/>
        <v>0</v>
      </c>
      <c r="DM119" s="8">
        <f t="shared" si="159"/>
        <v>0</v>
      </c>
      <c r="DN119" s="8">
        <f t="shared" si="160"/>
        <v>0</v>
      </c>
      <c r="DO119" s="177"/>
      <c r="DP119" s="141"/>
      <c r="DQ119" s="141"/>
      <c r="DR119" s="141"/>
      <c r="DS119" s="141"/>
      <c r="DT119" s="141"/>
      <c r="DU119" s="141"/>
      <c r="DV119" s="141"/>
      <c r="DW119" s="141"/>
      <c r="DX119" s="141"/>
      <c r="DY119" s="141"/>
      <c r="DZ119" s="141"/>
      <c r="EA119" s="141"/>
      <c r="EB119" s="141"/>
      <c r="EC119" s="141"/>
      <c r="ED119" s="141"/>
      <c r="EE119" s="141"/>
      <c r="EF119" s="141"/>
      <c r="EG119" s="141" t="s">
        <v>417</v>
      </c>
      <c r="EH119" s="141" t="s">
        <v>417</v>
      </c>
      <c r="EI119" s="141"/>
      <c r="EJ119" s="142"/>
      <c r="EK119" s="180"/>
    </row>
    <row r="120" spans="2:141" x14ac:dyDescent="0.25">
      <c r="B120" s="69" t="str">
        <f>IF(Profession="","",IF(HLOOKUP(Profession,Skills!$DO$3:$EK$126,ROW(D120)-2,FALSE)="","",HLOOKUP(Profession,Skills!$DO$3:$EK$126,ROW(D120)-2,FALSE)))</f>
        <v/>
      </c>
      <c r="C120" s="32"/>
      <c r="D120" s="35" t="s">
        <v>107</v>
      </c>
      <c r="E120" s="35" t="str">
        <f t="shared" si="190"/>
        <v>Medical</v>
      </c>
      <c r="F120" s="164" t="s">
        <v>270</v>
      </c>
      <c r="G120" s="33">
        <f ca="1">SUM(I120:L120)</f>
        <v>-25</v>
      </c>
      <c r="H120" s="33">
        <f ca="1">SUM(O120:(OFFSET(O120,0,Level)))</f>
        <v>0</v>
      </c>
      <c r="I120" s="33">
        <f ca="1">IF(Level=0,"",VLOOKUP(H120,RankBonus,2,FALSE))</f>
        <v>-25</v>
      </c>
      <c r="J120" s="33">
        <f>IF(OR(M120="",M120="-"),0,VLOOKUP(MID(M120,1,2),StatBonuses,2,FALSE)+VLOOKUP(MID(M120,4,2),StatBonuses,2,FALSE)+VLOOKUP(MID(M120,7,2),StatBonuses,2,FALSE))</f>
        <v>0</v>
      </c>
      <c r="K120" s="33">
        <f t="shared" ca="1" si="192"/>
        <v>0</v>
      </c>
      <c r="L120" s="168"/>
      <c r="M120" s="33" t="str">
        <f>IF(D120="","",VLOOKUP(D120,DPCosts,2,FALSE))</f>
        <v>Me/Re/In</v>
      </c>
      <c r="N120" s="33" t="str">
        <f>IF(OR(D120="", Profession=""),"",VLOOKUP(D120,DPCosts,MATCH(Profession,Professions,0)+2,FALSE))</f>
        <v>3/4</v>
      </c>
      <c r="O120" s="131" t="str">
        <f>IF(OR(D120="",Culture=""),"",VLOOKUP("Medical: First Aid",CultureRanks,MATCH(Culture,CultureList,0)+1,FALSE))</f>
        <v/>
      </c>
      <c r="P120" s="168"/>
      <c r="Q120" s="168"/>
      <c r="R120" s="168"/>
      <c r="S120" s="168"/>
      <c r="T120" s="168"/>
      <c r="U120" s="164"/>
      <c r="V120" s="164"/>
      <c r="W120" s="164"/>
      <c r="X120" s="164"/>
      <c r="Y120" s="164"/>
      <c r="Z120" s="164"/>
      <c r="AA120" s="164"/>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c r="BA120" s="168"/>
      <c r="BB120" s="168"/>
      <c r="BC120" s="168"/>
      <c r="BD120" s="168"/>
      <c r="BE120" s="168"/>
      <c r="BF120" s="168"/>
      <c r="BG120" s="168"/>
      <c r="BH120" s="168"/>
      <c r="BI120" s="168"/>
      <c r="BJ120" s="168"/>
      <c r="BK120" s="168"/>
      <c r="BL120" s="168"/>
      <c r="BM120" s="173"/>
      <c r="BO120" s="27" t="str">
        <f t="shared" si="165"/>
        <v>3</v>
      </c>
      <c r="BP120" s="8" t="str">
        <f t="shared" si="166"/>
        <v>4</v>
      </c>
      <c r="BQ120" s="8">
        <f t="shared" si="167"/>
        <v>0</v>
      </c>
      <c r="BR120" s="8">
        <f t="shared" si="168"/>
        <v>0</v>
      </c>
      <c r="BS120" s="8">
        <f t="shared" si="169"/>
        <v>0</v>
      </c>
      <c r="BT120" s="8">
        <f t="shared" si="170"/>
        <v>0</v>
      </c>
      <c r="BU120" s="8">
        <f t="shared" si="171"/>
        <v>0</v>
      </c>
      <c r="BV120" s="8">
        <f t="shared" si="172"/>
        <v>0</v>
      </c>
      <c r="BW120" s="8">
        <f t="shared" si="173"/>
        <v>0</v>
      </c>
      <c r="BX120" s="8">
        <f t="shared" si="174"/>
        <v>0</v>
      </c>
      <c r="BY120" s="8">
        <f t="shared" si="175"/>
        <v>0</v>
      </c>
      <c r="BZ120" s="8">
        <f t="shared" si="176"/>
        <v>0</v>
      </c>
      <c r="CA120" s="8">
        <f t="shared" si="177"/>
        <v>0</v>
      </c>
      <c r="CB120" s="8">
        <f t="shared" si="178"/>
        <v>0</v>
      </c>
      <c r="CC120" s="8">
        <f t="shared" si="179"/>
        <v>0</v>
      </c>
      <c r="CD120" s="8">
        <f t="shared" si="180"/>
        <v>0</v>
      </c>
      <c r="CE120" s="8">
        <f t="shared" si="181"/>
        <v>0</v>
      </c>
      <c r="CF120" s="8">
        <f t="shared" si="182"/>
        <v>0</v>
      </c>
      <c r="CG120" s="8">
        <f t="shared" si="183"/>
        <v>0</v>
      </c>
      <c r="CH120" s="8">
        <f t="shared" si="184"/>
        <v>0</v>
      </c>
      <c r="CI120" s="8">
        <f t="shared" si="185"/>
        <v>0</v>
      </c>
      <c r="CJ120" s="8">
        <f t="shared" si="194"/>
        <v>0</v>
      </c>
      <c r="CK120" s="8">
        <f t="shared" si="194"/>
        <v>0</v>
      </c>
      <c r="CL120" s="8">
        <f t="shared" si="194"/>
        <v>0</v>
      </c>
      <c r="CM120" s="8">
        <f t="shared" si="194"/>
        <v>0</v>
      </c>
      <c r="CN120" s="8">
        <f t="shared" si="194"/>
        <v>0</v>
      </c>
      <c r="CO120" s="8">
        <f t="shared" si="194"/>
        <v>0</v>
      </c>
      <c r="CP120" s="8">
        <f t="shared" si="194"/>
        <v>0</v>
      </c>
      <c r="CQ120" s="8">
        <f t="shared" si="137"/>
        <v>0</v>
      </c>
      <c r="CR120" s="8">
        <f t="shared" si="138"/>
        <v>0</v>
      </c>
      <c r="CS120" s="8">
        <f t="shared" si="139"/>
        <v>0</v>
      </c>
      <c r="CT120" s="8">
        <f t="shared" si="140"/>
        <v>0</v>
      </c>
      <c r="CU120" s="8">
        <f t="shared" si="141"/>
        <v>0</v>
      </c>
      <c r="CV120" s="8">
        <f t="shared" si="142"/>
        <v>0</v>
      </c>
      <c r="CW120" s="8">
        <f t="shared" si="143"/>
        <v>0</v>
      </c>
      <c r="CX120" s="8">
        <f t="shared" si="144"/>
        <v>0</v>
      </c>
      <c r="CY120" s="8">
        <f t="shared" si="145"/>
        <v>0</v>
      </c>
      <c r="CZ120" s="8">
        <f t="shared" si="146"/>
        <v>0</v>
      </c>
      <c r="DA120" s="8">
        <f t="shared" si="147"/>
        <v>0</v>
      </c>
      <c r="DB120" s="8">
        <f t="shared" si="148"/>
        <v>0</v>
      </c>
      <c r="DC120" s="8">
        <f t="shared" si="149"/>
        <v>0</v>
      </c>
      <c r="DD120" s="8">
        <f t="shared" si="150"/>
        <v>0</v>
      </c>
      <c r="DE120" s="8">
        <f t="shared" si="151"/>
        <v>0</v>
      </c>
      <c r="DF120" s="8">
        <f t="shared" si="152"/>
        <v>0</v>
      </c>
      <c r="DG120" s="8">
        <f t="shared" si="153"/>
        <v>0</v>
      </c>
      <c r="DH120" s="8">
        <f t="shared" si="154"/>
        <v>0</v>
      </c>
      <c r="DI120" s="8">
        <f t="shared" si="155"/>
        <v>0</v>
      </c>
      <c r="DJ120" s="8">
        <f t="shared" si="156"/>
        <v>0</v>
      </c>
      <c r="DK120" s="8">
        <f t="shared" si="157"/>
        <v>0</v>
      </c>
      <c r="DL120" s="8">
        <f t="shared" si="158"/>
        <v>0</v>
      </c>
      <c r="DM120" s="8">
        <f t="shared" si="159"/>
        <v>0</v>
      </c>
      <c r="DN120" s="8">
        <f t="shared" si="160"/>
        <v>0</v>
      </c>
      <c r="DO120" s="177"/>
      <c r="DP120" s="141"/>
      <c r="DQ120" s="141"/>
      <c r="DR120" s="141"/>
      <c r="DS120" s="141"/>
      <c r="DT120" s="141"/>
      <c r="DU120" s="141"/>
      <c r="DV120" s="141"/>
      <c r="DW120" s="141"/>
      <c r="DX120" s="141"/>
      <c r="DY120" s="141"/>
      <c r="DZ120" s="141"/>
      <c r="EA120" s="141"/>
      <c r="EB120" s="141"/>
      <c r="EC120" s="141"/>
      <c r="ED120" s="141"/>
      <c r="EE120" s="141"/>
      <c r="EF120" s="141"/>
      <c r="EG120" s="141" t="s">
        <v>417</v>
      </c>
      <c r="EH120" s="141" t="s">
        <v>417</v>
      </c>
      <c r="EI120" s="141"/>
      <c r="EJ120" s="142"/>
      <c r="EK120" s="180"/>
    </row>
    <row r="121" spans="2:141" x14ac:dyDescent="0.25">
      <c r="B121" s="69" t="str">
        <f>IF(Profession="","",IF(HLOOKUP(Profession,Skills!$DO$3:$EK$126,ROW(D121)-2,FALSE)="","",HLOOKUP(Profession,Skills!$DO$3:$EK$126,ROW(D121)-2,FALSE)))</f>
        <v/>
      </c>
      <c r="C121" s="32"/>
      <c r="D121" s="35" t="s">
        <v>107</v>
      </c>
      <c r="E121" s="35" t="str">
        <f t="shared" si="190"/>
        <v>Medical</v>
      </c>
      <c r="F121" s="164" t="s">
        <v>271</v>
      </c>
      <c r="G121" s="33">
        <f ca="1">SUM(I121:L121)</f>
        <v>-25</v>
      </c>
      <c r="H121" s="33">
        <f ca="1">SUM(O121:(OFFSET(O121,0,Level)))</f>
        <v>0</v>
      </c>
      <c r="I121" s="33">
        <f ca="1">IF(Level=0,"",VLOOKUP(H121,RankBonus,2,FALSE))</f>
        <v>-25</v>
      </c>
      <c r="J121" s="33">
        <f>IF(OR(M121="",M121="-"),0,VLOOKUP(MID(M121,1,2),StatBonuses,2,FALSE)+VLOOKUP(MID(M121,4,2),StatBonuses,2,FALSE)+VLOOKUP(MID(M121,7,2),StatBonuses,2,FALSE))</f>
        <v>0</v>
      </c>
      <c r="K121" s="33">
        <f t="shared" ca="1" si="192"/>
        <v>0</v>
      </c>
      <c r="L121" s="168"/>
      <c r="M121" s="33" t="str">
        <f>IF(D121="","",VLOOKUP(D121,DPCosts,2,FALSE))</f>
        <v>Me/Re/In</v>
      </c>
      <c r="N121" s="33" t="str">
        <f>IF(OR(D121="", Profession=""),"",VLOOKUP(D121,DPCosts,MATCH(Profession,Professions,0)+2,FALSE))</f>
        <v>3/4</v>
      </c>
      <c r="O121" s="131"/>
      <c r="P121" s="168"/>
      <c r="Q121" s="168"/>
      <c r="R121" s="168"/>
      <c r="S121" s="168"/>
      <c r="T121" s="168"/>
      <c r="U121" s="164"/>
      <c r="V121" s="164"/>
      <c r="W121" s="164"/>
      <c r="X121" s="164"/>
      <c r="Y121" s="164"/>
      <c r="Z121" s="164"/>
      <c r="AA121" s="164"/>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c r="BA121" s="168"/>
      <c r="BB121" s="168"/>
      <c r="BC121" s="168"/>
      <c r="BD121" s="168"/>
      <c r="BE121" s="168"/>
      <c r="BF121" s="168"/>
      <c r="BG121" s="168"/>
      <c r="BH121" s="168"/>
      <c r="BI121" s="168"/>
      <c r="BJ121" s="168"/>
      <c r="BK121" s="168"/>
      <c r="BL121" s="168"/>
      <c r="BM121" s="173"/>
      <c r="BO121" s="27" t="str">
        <f t="shared" si="165"/>
        <v>3</v>
      </c>
      <c r="BP121" s="8" t="str">
        <f t="shared" si="166"/>
        <v>4</v>
      </c>
      <c r="BQ121" s="8">
        <f t="shared" si="167"/>
        <v>0</v>
      </c>
      <c r="BR121" s="8">
        <f t="shared" si="168"/>
        <v>0</v>
      </c>
      <c r="BS121" s="8">
        <f t="shared" si="169"/>
        <v>0</v>
      </c>
      <c r="BT121" s="8">
        <f t="shared" si="170"/>
        <v>0</v>
      </c>
      <c r="BU121" s="8">
        <f t="shared" si="171"/>
        <v>0</v>
      </c>
      <c r="BV121" s="8">
        <f t="shared" si="172"/>
        <v>0</v>
      </c>
      <c r="BW121" s="8">
        <f t="shared" si="173"/>
        <v>0</v>
      </c>
      <c r="BX121" s="8">
        <f t="shared" si="174"/>
        <v>0</v>
      </c>
      <c r="BY121" s="8">
        <f t="shared" si="175"/>
        <v>0</v>
      </c>
      <c r="BZ121" s="8">
        <f t="shared" si="176"/>
        <v>0</v>
      </c>
      <c r="CA121" s="8">
        <f t="shared" si="177"/>
        <v>0</v>
      </c>
      <c r="CB121" s="8">
        <f t="shared" si="178"/>
        <v>0</v>
      </c>
      <c r="CC121" s="8">
        <f t="shared" si="179"/>
        <v>0</v>
      </c>
      <c r="CD121" s="8">
        <f t="shared" si="180"/>
        <v>0</v>
      </c>
      <c r="CE121" s="8">
        <f t="shared" si="181"/>
        <v>0</v>
      </c>
      <c r="CF121" s="8">
        <f t="shared" si="182"/>
        <v>0</v>
      </c>
      <c r="CG121" s="8">
        <f t="shared" si="183"/>
        <v>0</v>
      </c>
      <c r="CH121" s="8">
        <f t="shared" si="184"/>
        <v>0</v>
      </c>
      <c r="CI121" s="8">
        <f t="shared" si="185"/>
        <v>0</v>
      </c>
      <c r="CJ121" s="8">
        <f t="shared" si="194"/>
        <v>0</v>
      </c>
      <c r="CK121" s="8">
        <f t="shared" si="194"/>
        <v>0</v>
      </c>
      <c r="CL121" s="8">
        <f t="shared" si="194"/>
        <v>0</v>
      </c>
      <c r="CM121" s="8">
        <f t="shared" si="194"/>
        <v>0</v>
      </c>
      <c r="CN121" s="8">
        <f t="shared" si="194"/>
        <v>0</v>
      </c>
      <c r="CO121" s="8">
        <f t="shared" si="194"/>
        <v>0</v>
      </c>
      <c r="CP121" s="8">
        <f t="shared" si="194"/>
        <v>0</v>
      </c>
      <c r="CQ121" s="8">
        <f t="shared" si="137"/>
        <v>0</v>
      </c>
      <c r="CR121" s="8">
        <f t="shared" si="138"/>
        <v>0</v>
      </c>
      <c r="CS121" s="8">
        <f t="shared" si="139"/>
        <v>0</v>
      </c>
      <c r="CT121" s="8">
        <f t="shared" si="140"/>
        <v>0</v>
      </c>
      <c r="CU121" s="8">
        <f t="shared" si="141"/>
        <v>0</v>
      </c>
      <c r="CV121" s="8">
        <f t="shared" si="142"/>
        <v>0</v>
      </c>
      <c r="CW121" s="8">
        <f t="shared" si="143"/>
        <v>0</v>
      </c>
      <c r="CX121" s="8">
        <f t="shared" si="144"/>
        <v>0</v>
      </c>
      <c r="CY121" s="8">
        <f t="shared" si="145"/>
        <v>0</v>
      </c>
      <c r="CZ121" s="8">
        <f t="shared" si="146"/>
        <v>0</v>
      </c>
      <c r="DA121" s="8">
        <f t="shared" si="147"/>
        <v>0</v>
      </c>
      <c r="DB121" s="8">
        <f t="shared" si="148"/>
        <v>0</v>
      </c>
      <c r="DC121" s="8">
        <f t="shared" si="149"/>
        <v>0</v>
      </c>
      <c r="DD121" s="8">
        <f t="shared" si="150"/>
        <v>0</v>
      </c>
      <c r="DE121" s="8">
        <f t="shared" si="151"/>
        <v>0</v>
      </c>
      <c r="DF121" s="8">
        <f t="shared" si="152"/>
        <v>0</v>
      </c>
      <c r="DG121" s="8">
        <f t="shared" si="153"/>
        <v>0</v>
      </c>
      <c r="DH121" s="8">
        <f t="shared" si="154"/>
        <v>0</v>
      </c>
      <c r="DI121" s="8">
        <f t="shared" si="155"/>
        <v>0</v>
      </c>
      <c r="DJ121" s="8">
        <f t="shared" si="156"/>
        <v>0</v>
      </c>
      <c r="DK121" s="8">
        <f t="shared" si="157"/>
        <v>0</v>
      </c>
      <c r="DL121" s="8">
        <f t="shared" si="158"/>
        <v>0</v>
      </c>
      <c r="DM121" s="8">
        <f t="shared" si="159"/>
        <v>0</v>
      </c>
      <c r="DN121" s="8">
        <f t="shared" si="160"/>
        <v>0</v>
      </c>
      <c r="DO121" s="177"/>
      <c r="DP121" s="141"/>
      <c r="DQ121" s="141"/>
      <c r="DR121" s="141"/>
      <c r="DS121" s="141"/>
      <c r="DT121" s="141"/>
      <c r="DU121" s="141"/>
      <c r="DV121" s="141"/>
      <c r="DW121" s="141"/>
      <c r="DX121" s="141"/>
      <c r="DY121" s="141"/>
      <c r="DZ121" s="141"/>
      <c r="EA121" s="141"/>
      <c r="EB121" s="141"/>
      <c r="EC121" s="141"/>
      <c r="ED121" s="141"/>
      <c r="EE121" s="141"/>
      <c r="EF121" s="141"/>
      <c r="EG121" s="141" t="s">
        <v>417</v>
      </c>
      <c r="EH121" s="141" t="s">
        <v>417</v>
      </c>
      <c r="EI121" s="141"/>
      <c r="EJ121" s="142"/>
      <c r="EK121" s="180"/>
    </row>
    <row r="122" spans="2:141" x14ac:dyDescent="0.25">
      <c r="B122" s="69" t="str">
        <f>IF(Profession="","",IF(HLOOKUP(Profession,Skills!$DO$3:$EK$126,ROW(D122)-2,FALSE)="","",HLOOKUP(Profession,Skills!$DO$3:$EK$126,ROW(D122)-2,FALSE)))</f>
        <v/>
      </c>
      <c r="C122" s="32"/>
      <c r="D122" s="35" t="s">
        <v>107</v>
      </c>
      <c r="E122" s="35" t="str">
        <f t="shared" si="190"/>
        <v>Medical</v>
      </c>
      <c r="F122" s="164"/>
      <c r="G122" s="33">
        <f t="shared" ca="1" si="164"/>
        <v>-25</v>
      </c>
      <c r="H122" s="33">
        <f ca="1">SUM(O122:(OFFSET(O122,0,Level)))</f>
        <v>0</v>
      </c>
      <c r="I122" s="33">
        <f t="shared" ca="1" si="191"/>
        <v>-25</v>
      </c>
      <c r="J122" s="33">
        <f t="shared" si="189"/>
        <v>0</v>
      </c>
      <c r="K122" s="33">
        <f t="shared" ca="1" si="192"/>
        <v>0</v>
      </c>
      <c r="L122" s="168"/>
      <c r="M122" s="33" t="str">
        <f t="shared" si="162"/>
        <v>Me/Re/In</v>
      </c>
      <c r="N122" s="33" t="str">
        <f t="shared" si="163"/>
        <v>3/4</v>
      </c>
      <c r="O122" s="131"/>
      <c r="P122" s="168"/>
      <c r="Q122" s="168"/>
      <c r="R122" s="168"/>
      <c r="S122" s="168"/>
      <c r="T122" s="168"/>
      <c r="U122" s="164"/>
      <c r="V122" s="164"/>
      <c r="W122" s="164"/>
      <c r="X122" s="164"/>
      <c r="Y122" s="164"/>
      <c r="Z122" s="164"/>
      <c r="AA122" s="164"/>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c r="BA122" s="168"/>
      <c r="BB122" s="168"/>
      <c r="BC122" s="168"/>
      <c r="BD122" s="168"/>
      <c r="BE122" s="168"/>
      <c r="BF122" s="168"/>
      <c r="BG122" s="168"/>
      <c r="BH122" s="168"/>
      <c r="BI122" s="168"/>
      <c r="BJ122" s="168"/>
      <c r="BK122" s="168"/>
      <c r="BL122" s="168"/>
      <c r="BM122" s="173"/>
      <c r="BO122" s="27" t="str">
        <f t="shared" si="165"/>
        <v>3</v>
      </c>
      <c r="BP122" s="8" t="str">
        <f t="shared" si="166"/>
        <v>4</v>
      </c>
      <c r="BQ122" s="8">
        <f t="shared" si="167"/>
        <v>0</v>
      </c>
      <c r="BR122" s="8">
        <f t="shared" si="168"/>
        <v>0</v>
      </c>
      <c r="BS122" s="8">
        <f t="shared" si="169"/>
        <v>0</v>
      </c>
      <c r="BT122" s="8">
        <f t="shared" si="170"/>
        <v>0</v>
      </c>
      <c r="BU122" s="8">
        <f t="shared" si="171"/>
        <v>0</v>
      </c>
      <c r="BV122" s="8">
        <f t="shared" si="172"/>
        <v>0</v>
      </c>
      <c r="BW122" s="8">
        <f t="shared" si="173"/>
        <v>0</v>
      </c>
      <c r="BX122" s="8">
        <f t="shared" si="174"/>
        <v>0</v>
      </c>
      <c r="BY122" s="8">
        <f t="shared" si="175"/>
        <v>0</v>
      </c>
      <c r="BZ122" s="8">
        <f t="shared" si="176"/>
        <v>0</v>
      </c>
      <c r="CA122" s="8">
        <f t="shared" si="177"/>
        <v>0</v>
      </c>
      <c r="CB122" s="8">
        <f t="shared" si="178"/>
        <v>0</v>
      </c>
      <c r="CC122" s="8">
        <f t="shared" si="179"/>
        <v>0</v>
      </c>
      <c r="CD122" s="8">
        <f t="shared" si="180"/>
        <v>0</v>
      </c>
      <c r="CE122" s="8">
        <f t="shared" si="181"/>
        <v>0</v>
      </c>
      <c r="CF122" s="8">
        <f t="shared" si="182"/>
        <v>0</v>
      </c>
      <c r="CG122" s="8">
        <f t="shared" si="183"/>
        <v>0</v>
      </c>
      <c r="CH122" s="8">
        <f t="shared" si="184"/>
        <v>0</v>
      </c>
      <c r="CI122" s="8">
        <f t="shared" si="185"/>
        <v>0</v>
      </c>
      <c r="CJ122" s="8">
        <f t="shared" si="194"/>
        <v>0</v>
      </c>
      <c r="CK122" s="8">
        <f t="shared" si="194"/>
        <v>0</v>
      </c>
      <c r="CL122" s="8">
        <f t="shared" si="194"/>
        <v>0</v>
      </c>
      <c r="CM122" s="8">
        <f t="shared" si="194"/>
        <v>0</v>
      </c>
      <c r="CN122" s="8">
        <f t="shared" si="194"/>
        <v>0</v>
      </c>
      <c r="CO122" s="8">
        <f t="shared" si="194"/>
        <v>0</v>
      </c>
      <c r="CP122" s="8">
        <f t="shared" si="194"/>
        <v>0</v>
      </c>
      <c r="CQ122" s="8">
        <f t="shared" si="137"/>
        <v>0</v>
      </c>
      <c r="CR122" s="8">
        <f t="shared" si="138"/>
        <v>0</v>
      </c>
      <c r="CS122" s="8">
        <f t="shared" si="139"/>
        <v>0</v>
      </c>
      <c r="CT122" s="8">
        <f t="shared" si="140"/>
        <v>0</v>
      </c>
      <c r="CU122" s="8">
        <f t="shared" si="141"/>
        <v>0</v>
      </c>
      <c r="CV122" s="8">
        <f t="shared" si="142"/>
        <v>0</v>
      </c>
      <c r="CW122" s="8">
        <f t="shared" si="143"/>
        <v>0</v>
      </c>
      <c r="CX122" s="8">
        <f t="shared" si="144"/>
        <v>0</v>
      </c>
      <c r="CY122" s="8">
        <f t="shared" si="145"/>
        <v>0</v>
      </c>
      <c r="CZ122" s="8">
        <f t="shared" si="146"/>
        <v>0</v>
      </c>
      <c r="DA122" s="8">
        <f t="shared" si="147"/>
        <v>0</v>
      </c>
      <c r="DB122" s="8">
        <f t="shared" si="148"/>
        <v>0</v>
      </c>
      <c r="DC122" s="8">
        <f t="shared" si="149"/>
        <v>0</v>
      </c>
      <c r="DD122" s="8">
        <f t="shared" si="150"/>
        <v>0</v>
      </c>
      <c r="DE122" s="8">
        <f t="shared" si="151"/>
        <v>0</v>
      </c>
      <c r="DF122" s="8">
        <f t="shared" si="152"/>
        <v>0</v>
      </c>
      <c r="DG122" s="8">
        <f t="shared" si="153"/>
        <v>0</v>
      </c>
      <c r="DH122" s="8">
        <f t="shared" si="154"/>
        <v>0</v>
      </c>
      <c r="DI122" s="8">
        <f t="shared" si="155"/>
        <v>0</v>
      </c>
      <c r="DJ122" s="8">
        <f t="shared" si="156"/>
        <v>0</v>
      </c>
      <c r="DK122" s="8">
        <f t="shared" si="157"/>
        <v>0</v>
      </c>
      <c r="DL122" s="8">
        <f t="shared" si="158"/>
        <v>0</v>
      </c>
      <c r="DM122" s="8">
        <f t="shared" si="159"/>
        <v>0</v>
      </c>
      <c r="DN122" s="8">
        <f t="shared" si="160"/>
        <v>0</v>
      </c>
      <c r="DO122" s="177"/>
      <c r="DP122" s="141"/>
      <c r="DQ122" s="141"/>
      <c r="DR122" s="141"/>
      <c r="DS122" s="141"/>
      <c r="DT122" s="141"/>
      <c r="DU122" s="141"/>
      <c r="DV122" s="141"/>
      <c r="DW122" s="141"/>
      <c r="DX122" s="141"/>
      <c r="DY122" s="141"/>
      <c r="DZ122" s="141"/>
      <c r="EA122" s="141"/>
      <c r="EB122" s="141"/>
      <c r="EC122" s="141"/>
      <c r="ED122" s="141"/>
      <c r="EE122" s="141"/>
      <c r="EF122" s="141"/>
      <c r="EG122" s="141" t="s">
        <v>417</v>
      </c>
      <c r="EH122" s="141" t="s">
        <v>417</v>
      </c>
      <c r="EI122" s="141"/>
      <c r="EJ122" s="142"/>
      <c r="EK122" s="180"/>
    </row>
    <row r="123" spans="2:141" x14ac:dyDescent="0.25">
      <c r="B123" s="69" t="str">
        <f>IF(Profession="","",IF(HLOOKUP(Profession,Skills!$DO$3:$EK$126,ROW(D123)-2,FALSE)="","",HLOOKUP(Profession,Skills!$DO$3:$EK$126,ROW(D123)-2,FALSE)))</f>
        <v/>
      </c>
      <c r="C123" s="32"/>
      <c r="D123" s="35" t="s">
        <v>108</v>
      </c>
      <c r="E123" s="35" t="str">
        <f t="shared" si="190"/>
        <v>Performance Art</v>
      </c>
      <c r="F123" s="164"/>
      <c r="G123" s="33">
        <f t="shared" ca="1" si="164"/>
        <v>-17</v>
      </c>
      <c r="H123" s="33">
        <f ca="1">SUM(O123:(OFFSET(O123,0,Level)))</f>
        <v>0</v>
      </c>
      <c r="I123" s="33">
        <f t="shared" ca="1" si="191"/>
        <v>-25</v>
      </c>
      <c r="J123" s="33">
        <f t="shared" si="189"/>
        <v>8</v>
      </c>
      <c r="K123" s="33">
        <f t="shared" ca="1" si="192"/>
        <v>0</v>
      </c>
      <c r="L123" s="168"/>
      <c r="M123" s="33" t="str">
        <f>IF(D123="","",VLOOKUP(D123,DPCosts,2,FALSE))</f>
        <v>Me/Em/Pr</v>
      </c>
      <c r="N123" s="33" t="str">
        <f>IF(OR(D123="", Profession=""),"",VLOOKUP(D123,DPCosts,MATCH(Profession,Professions,0)+2,FALSE))</f>
        <v>3/5</v>
      </c>
      <c r="O123" s="171"/>
      <c r="P123" s="168"/>
      <c r="Q123" s="168"/>
      <c r="R123" s="168"/>
      <c r="S123" s="168"/>
      <c r="T123" s="168"/>
      <c r="U123" s="164"/>
      <c r="V123" s="164"/>
      <c r="W123" s="164"/>
      <c r="X123" s="164"/>
      <c r="Y123" s="164"/>
      <c r="Z123" s="164"/>
      <c r="AA123" s="164"/>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c r="BA123" s="168"/>
      <c r="BB123" s="168"/>
      <c r="BC123" s="168"/>
      <c r="BD123" s="168"/>
      <c r="BE123" s="168"/>
      <c r="BF123" s="168"/>
      <c r="BG123" s="168"/>
      <c r="BH123" s="168"/>
      <c r="BI123" s="168"/>
      <c r="BJ123" s="168"/>
      <c r="BK123" s="168"/>
      <c r="BL123" s="168"/>
      <c r="BM123" s="173"/>
      <c r="BO123" s="27" t="str">
        <f t="shared" si="165"/>
        <v>3</v>
      </c>
      <c r="BP123" s="8" t="str">
        <f t="shared" si="166"/>
        <v>5</v>
      </c>
      <c r="BQ123" s="8">
        <f t="shared" si="167"/>
        <v>0</v>
      </c>
      <c r="BR123" s="8">
        <f t="shared" si="168"/>
        <v>0</v>
      </c>
      <c r="BS123" s="8">
        <f t="shared" si="169"/>
        <v>0</v>
      </c>
      <c r="BT123" s="8">
        <f t="shared" si="170"/>
        <v>0</v>
      </c>
      <c r="BU123" s="8">
        <f t="shared" si="171"/>
        <v>0</v>
      </c>
      <c r="BV123" s="8">
        <f t="shared" si="172"/>
        <v>0</v>
      </c>
      <c r="BW123" s="8">
        <f t="shared" si="173"/>
        <v>0</v>
      </c>
      <c r="BX123" s="8">
        <f t="shared" si="174"/>
        <v>0</v>
      </c>
      <c r="BY123" s="8">
        <f t="shared" si="175"/>
        <v>0</v>
      </c>
      <c r="BZ123" s="8">
        <f t="shared" si="176"/>
        <v>0</v>
      </c>
      <c r="CA123" s="8">
        <f t="shared" si="177"/>
        <v>0</v>
      </c>
      <c r="CB123" s="8">
        <f t="shared" si="178"/>
        <v>0</v>
      </c>
      <c r="CC123" s="8">
        <f t="shared" si="179"/>
        <v>0</v>
      </c>
      <c r="CD123" s="8">
        <f t="shared" si="180"/>
        <v>0</v>
      </c>
      <c r="CE123" s="8">
        <f t="shared" si="181"/>
        <v>0</v>
      </c>
      <c r="CF123" s="8">
        <f t="shared" si="182"/>
        <v>0</v>
      </c>
      <c r="CG123" s="8">
        <f t="shared" si="183"/>
        <v>0</v>
      </c>
      <c r="CH123" s="8">
        <f t="shared" si="184"/>
        <v>0</v>
      </c>
      <c r="CI123" s="8">
        <f t="shared" si="185"/>
        <v>0</v>
      </c>
      <c r="CJ123" s="8">
        <f t="shared" si="194"/>
        <v>0</v>
      </c>
      <c r="CK123" s="8">
        <f t="shared" si="194"/>
        <v>0</v>
      </c>
      <c r="CL123" s="8">
        <f t="shared" si="194"/>
        <v>0</v>
      </c>
      <c r="CM123" s="8">
        <f t="shared" si="194"/>
        <v>0</v>
      </c>
      <c r="CN123" s="8">
        <f t="shared" si="194"/>
        <v>0</v>
      </c>
      <c r="CO123" s="8">
        <f t="shared" si="194"/>
        <v>0</v>
      </c>
      <c r="CP123" s="8">
        <f t="shared" si="194"/>
        <v>0</v>
      </c>
      <c r="CQ123" s="8">
        <f t="shared" si="137"/>
        <v>0</v>
      </c>
      <c r="CR123" s="8">
        <f t="shared" si="138"/>
        <v>0</v>
      </c>
      <c r="CS123" s="8">
        <f t="shared" si="139"/>
        <v>0</v>
      </c>
      <c r="CT123" s="8">
        <f t="shared" si="140"/>
        <v>0</v>
      </c>
      <c r="CU123" s="8">
        <f t="shared" si="141"/>
        <v>0</v>
      </c>
      <c r="CV123" s="8">
        <f t="shared" si="142"/>
        <v>0</v>
      </c>
      <c r="CW123" s="8">
        <f t="shared" si="143"/>
        <v>0</v>
      </c>
      <c r="CX123" s="8">
        <f t="shared" si="144"/>
        <v>0</v>
      </c>
      <c r="CY123" s="8">
        <f t="shared" si="145"/>
        <v>0</v>
      </c>
      <c r="CZ123" s="8">
        <f t="shared" si="146"/>
        <v>0</v>
      </c>
      <c r="DA123" s="8">
        <f t="shared" si="147"/>
        <v>0</v>
      </c>
      <c r="DB123" s="8">
        <f t="shared" si="148"/>
        <v>0</v>
      </c>
      <c r="DC123" s="8">
        <f t="shared" si="149"/>
        <v>0</v>
      </c>
      <c r="DD123" s="8">
        <f t="shared" si="150"/>
        <v>0</v>
      </c>
      <c r="DE123" s="8">
        <f t="shared" si="151"/>
        <v>0</v>
      </c>
      <c r="DF123" s="8">
        <f t="shared" si="152"/>
        <v>0</v>
      </c>
      <c r="DG123" s="8">
        <f t="shared" si="153"/>
        <v>0</v>
      </c>
      <c r="DH123" s="8">
        <f t="shared" si="154"/>
        <v>0</v>
      </c>
      <c r="DI123" s="8">
        <f t="shared" si="155"/>
        <v>0</v>
      </c>
      <c r="DJ123" s="8">
        <f t="shared" si="156"/>
        <v>0</v>
      </c>
      <c r="DK123" s="8">
        <f t="shared" si="157"/>
        <v>0</v>
      </c>
      <c r="DL123" s="8">
        <f t="shared" si="158"/>
        <v>0</v>
      </c>
      <c r="DM123" s="8">
        <f t="shared" si="159"/>
        <v>0</v>
      </c>
      <c r="DN123" s="8">
        <f t="shared" si="160"/>
        <v>0</v>
      </c>
      <c r="DO123" s="177"/>
      <c r="DP123" s="141"/>
      <c r="DQ123" s="141"/>
      <c r="DR123" s="141"/>
      <c r="DS123" s="141"/>
      <c r="DT123" s="141" t="s">
        <v>417</v>
      </c>
      <c r="DU123" s="141" t="s">
        <v>417</v>
      </c>
      <c r="DV123" s="141"/>
      <c r="DW123" s="141"/>
      <c r="DX123" s="141"/>
      <c r="DY123" s="141"/>
      <c r="DZ123" s="141" t="s">
        <v>417</v>
      </c>
      <c r="EA123" s="141"/>
      <c r="EB123" s="141"/>
      <c r="EC123" s="141"/>
      <c r="ED123" s="141"/>
      <c r="EE123" s="141" t="s">
        <v>417</v>
      </c>
      <c r="EF123" s="141"/>
      <c r="EG123" s="141"/>
      <c r="EH123" s="141"/>
      <c r="EI123" s="141"/>
      <c r="EJ123" s="142"/>
      <c r="EK123" s="180"/>
    </row>
    <row r="124" spans="2:141" x14ac:dyDescent="0.25">
      <c r="B124" s="69" t="str">
        <f>IF(Profession="","",IF(HLOOKUP(Profession,Skills!$DO$3:$EK$126,ROW(D124)-2,FALSE)="","",HLOOKUP(Profession,Skills!$DO$3:$EK$126,ROW(D124)-2,FALSE)))</f>
        <v/>
      </c>
      <c r="C124" s="32"/>
      <c r="D124" s="35" t="s">
        <v>108</v>
      </c>
      <c r="E124" s="35" t="str">
        <f t="shared" si="190"/>
        <v>Performance Art</v>
      </c>
      <c r="F124" s="164"/>
      <c r="G124" s="33">
        <f t="shared" ca="1" si="164"/>
        <v>-17</v>
      </c>
      <c r="H124" s="33">
        <f ca="1">SUM(O124:(OFFSET(O124,0,Level)))</f>
        <v>0</v>
      </c>
      <c r="I124" s="33">
        <f t="shared" ca="1" si="191"/>
        <v>-25</v>
      </c>
      <c r="J124" s="33">
        <f t="shared" si="189"/>
        <v>8</v>
      </c>
      <c r="K124" s="33">
        <f t="shared" ca="1" si="192"/>
        <v>0</v>
      </c>
      <c r="L124" s="168"/>
      <c r="M124" s="33" t="str">
        <f>IF(D124="","",VLOOKUP(D124,DPCosts,2,FALSE))</f>
        <v>Me/Em/Pr</v>
      </c>
      <c r="N124" s="33" t="str">
        <f>IF(OR(D124="", Profession=""),"",VLOOKUP(D124,DPCosts,MATCH(Profession,Professions,0)+2,FALSE))</f>
        <v>3/5</v>
      </c>
      <c r="O124" s="171"/>
      <c r="P124" s="168"/>
      <c r="Q124" s="168"/>
      <c r="R124" s="168"/>
      <c r="S124" s="168"/>
      <c r="T124" s="168"/>
      <c r="U124" s="164"/>
      <c r="V124" s="164"/>
      <c r="W124" s="164"/>
      <c r="X124" s="164"/>
      <c r="Y124" s="164"/>
      <c r="Z124" s="164"/>
      <c r="AA124" s="164"/>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c r="BA124" s="168"/>
      <c r="BB124" s="168"/>
      <c r="BC124" s="168"/>
      <c r="BD124" s="168"/>
      <c r="BE124" s="168"/>
      <c r="BF124" s="168"/>
      <c r="BG124" s="168"/>
      <c r="BH124" s="168"/>
      <c r="BI124" s="168"/>
      <c r="BJ124" s="168"/>
      <c r="BK124" s="168"/>
      <c r="BL124" s="168"/>
      <c r="BM124" s="173"/>
      <c r="BO124" s="27" t="str">
        <f t="shared" si="165"/>
        <v>3</v>
      </c>
      <c r="BP124" s="8" t="str">
        <f t="shared" si="166"/>
        <v>5</v>
      </c>
      <c r="BQ124" s="8">
        <f t="shared" si="167"/>
        <v>0</v>
      </c>
      <c r="BR124" s="8">
        <f t="shared" si="168"/>
        <v>0</v>
      </c>
      <c r="BS124" s="8">
        <f t="shared" si="169"/>
        <v>0</v>
      </c>
      <c r="BT124" s="8">
        <f t="shared" si="170"/>
        <v>0</v>
      </c>
      <c r="BU124" s="8">
        <f t="shared" si="171"/>
        <v>0</v>
      </c>
      <c r="BV124" s="8">
        <f t="shared" si="172"/>
        <v>0</v>
      </c>
      <c r="BW124" s="8">
        <f t="shared" si="173"/>
        <v>0</v>
      </c>
      <c r="BX124" s="8">
        <f t="shared" si="174"/>
        <v>0</v>
      </c>
      <c r="BY124" s="8">
        <f t="shared" si="175"/>
        <v>0</v>
      </c>
      <c r="BZ124" s="8">
        <f t="shared" si="176"/>
        <v>0</v>
      </c>
      <c r="CA124" s="8">
        <f t="shared" si="177"/>
        <v>0</v>
      </c>
      <c r="CB124" s="8">
        <f t="shared" si="178"/>
        <v>0</v>
      </c>
      <c r="CC124" s="8">
        <f t="shared" si="179"/>
        <v>0</v>
      </c>
      <c r="CD124" s="8">
        <f t="shared" si="180"/>
        <v>0</v>
      </c>
      <c r="CE124" s="8">
        <f t="shared" si="181"/>
        <v>0</v>
      </c>
      <c r="CF124" s="8">
        <f t="shared" si="182"/>
        <v>0</v>
      </c>
      <c r="CG124" s="8">
        <f t="shared" si="183"/>
        <v>0</v>
      </c>
      <c r="CH124" s="8">
        <f t="shared" si="184"/>
        <v>0</v>
      </c>
      <c r="CI124" s="8">
        <f t="shared" si="185"/>
        <v>0</v>
      </c>
      <c r="CJ124" s="8">
        <f t="shared" si="194"/>
        <v>0</v>
      </c>
      <c r="CK124" s="8">
        <f t="shared" si="194"/>
        <v>0</v>
      </c>
      <c r="CL124" s="8">
        <f t="shared" si="194"/>
        <v>0</v>
      </c>
      <c r="CM124" s="8">
        <f t="shared" si="194"/>
        <v>0</v>
      </c>
      <c r="CN124" s="8">
        <f t="shared" si="194"/>
        <v>0</v>
      </c>
      <c r="CO124" s="8">
        <f t="shared" si="194"/>
        <v>0</v>
      </c>
      <c r="CP124" s="8">
        <f t="shared" si="194"/>
        <v>0</v>
      </c>
      <c r="CQ124" s="8">
        <f t="shared" si="137"/>
        <v>0</v>
      </c>
      <c r="CR124" s="8">
        <f t="shared" si="138"/>
        <v>0</v>
      </c>
      <c r="CS124" s="8">
        <f t="shared" si="139"/>
        <v>0</v>
      </c>
      <c r="CT124" s="8">
        <f t="shared" si="140"/>
        <v>0</v>
      </c>
      <c r="CU124" s="8">
        <f t="shared" si="141"/>
        <v>0</v>
      </c>
      <c r="CV124" s="8">
        <f t="shared" si="142"/>
        <v>0</v>
      </c>
      <c r="CW124" s="8">
        <f t="shared" si="143"/>
        <v>0</v>
      </c>
      <c r="CX124" s="8">
        <f t="shared" si="144"/>
        <v>0</v>
      </c>
      <c r="CY124" s="8">
        <f t="shared" si="145"/>
        <v>0</v>
      </c>
      <c r="CZ124" s="8">
        <f t="shared" si="146"/>
        <v>0</v>
      </c>
      <c r="DA124" s="8">
        <f t="shared" si="147"/>
        <v>0</v>
      </c>
      <c r="DB124" s="8">
        <f t="shared" si="148"/>
        <v>0</v>
      </c>
      <c r="DC124" s="8">
        <f t="shared" si="149"/>
        <v>0</v>
      </c>
      <c r="DD124" s="8">
        <f t="shared" si="150"/>
        <v>0</v>
      </c>
      <c r="DE124" s="8">
        <f t="shared" si="151"/>
        <v>0</v>
      </c>
      <c r="DF124" s="8">
        <f t="shared" si="152"/>
        <v>0</v>
      </c>
      <c r="DG124" s="8">
        <f t="shared" si="153"/>
        <v>0</v>
      </c>
      <c r="DH124" s="8">
        <f t="shared" si="154"/>
        <v>0</v>
      </c>
      <c r="DI124" s="8">
        <f t="shared" si="155"/>
        <v>0</v>
      </c>
      <c r="DJ124" s="8">
        <f t="shared" si="156"/>
        <v>0</v>
      </c>
      <c r="DK124" s="8">
        <f t="shared" si="157"/>
        <v>0</v>
      </c>
      <c r="DL124" s="8">
        <f t="shared" si="158"/>
        <v>0</v>
      </c>
      <c r="DM124" s="8">
        <f t="shared" si="159"/>
        <v>0</v>
      </c>
      <c r="DN124" s="8">
        <f t="shared" si="160"/>
        <v>0</v>
      </c>
      <c r="DO124" s="177"/>
      <c r="DP124" s="141"/>
      <c r="DQ124" s="141"/>
      <c r="DR124" s="141"/>
      <c r="DS124" s="141"/>
      <c r="DT124" s="141" t="s">
        <v>417</v>
      </c>
      <c r="DU124" s="141" t="s">
        <v>417</v>
      </c>
      <c r="DV124" s="141"/>
      <c r="DW124" s="141"/>
      <c r="DX124" s="141"/>
      <c r="DY124" s="141"/>
      <c r="DZ124" s="141" t="s">
        <v>417</v>
      </c>
      <c r="EA124" s="141"/>
      <c r="EB124" s="141"/>
      <c r="EC124" s="141"/>
      <c r="ED124" s="141"/>
      <c r="EE124" s="141" t="s">
        <v>417</v>
      </c>
      <c r="EF124" s="141"/>
      <c r="EG124" s="141"/>
      <c r="EH124" s="141"/>
      <c r="EI124" s="141"/>
      <c r="EJ124" s="142"/>
      <c r="EK124" s="180"/>
    </row>
    <row r="125" spans="2:141" x14ac:dyDescent="0.25">
      <c r="B125" s="69" t="str">
        <f>IF(Profession="","",IF(HLOOKUP(Profession,Skills!$DO$3:$EK$126,ROW(D125)-2,FALSE)="","",HLOOKUP(Profession,Skills!$DO$3:$EK$126,ROW(D125)-2,FALSE)))</f>
        <v/>
      </c>
      <c r="C125" s="32"/>
      <c r="D125" s="35" t="s">
        <v>109</v>
      </c>
      <c r="E125" s="35" t="str">
        <f t="shared" si="190"/>
        <v>Vocation</v>
      </c>
      <c r="F125" s="164"/>
      <c r="G125" s="33">
        <f t="shared" ca="1" si="164"/>
        <v>-17</v>
      </c>
      <c r="H125" s="33">
        <f ca="1">SUM(O125:(OFFSET(O125,0,Level)))</f>
        <v>0</v>
      </c>
      <c r="I125" s="33">
        <f t="shared" ca="1" si="191"/>
        <v>-25</v>
      </c>
      <c r="J125" s="33">
        <f t="shared" si="189"/>
        <v>8</v>
      </c>
      <c r="K125" s="33">
        <f t="shared" ca="1" si="192"/>
        <v>0</v>
      </c>
      <c r="L125" s="168"/>
      <c r="M125" s="33" t="str">
        <f>IF(D125="","",VLOOKUP(D125,DPCosts,2,FALSE))</f>
        <v>Em/Me/Re</v>
      </c>
      <c r="N125" s="33" t="str">
        <f>IF(OR(D125="", Profession=""),"",VLOOKUP(D125,DPCosts,MATCH(Profession,Professions,0)+2,FALSE))</f>
        <v>2/4</v>
      </c>
      <c r="O125" s="131" t="str">
        <f>IF(OR(D125="",Culture=""),"",VLOOKUP("Vocation: Choice1",CultureRanks,MATCH(Culture,CultureList,0)+1,FALSE))</f>
        <v/>
      </c>
      <c r="P125" s="168"/>
      <c r="Q125" s="168"/>
      <c r="R125" s="168"/>
      <c r="S125" s="168"/>
      <c r="T125" s="168"/>
      <c r="U125" s="164"/>
      <c r="V125" s="164"/>
      <c r="W125" s="164"/>
      <c r="X125" s="164"/>
      <c r="Y125" s="164"/>
      <c r="Z125" s="164"/>
      <c r="AA125" s="164"/>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c r="BA125" s="168"/>
      <c r="BB125" s="168"/>
      <c r="BC125" s="168"/>
      <c r="BD125" s="168"/>
      <c r="BE125" s="168"/>
      <c r="BF125" s="168"/>
      <c r="BG125" s="168"/>
      <c r="BH125" s="168"/>
      <c r="BI125" s="168"/>
      <c r="BJ125" s="168"/>
      <c r="BK125" s="168"/>
      <c r="BL125" s="168"/>
      <c r="BM125" s="173"/>
      <c r="BO125" s="27" t="str">
        <f>IF(N125="","",MID(N125,1,FIND("/",N125)-1))</f>
        <v>2</v>
      </c>
      <c r="BP125" s="8" t="str">
        <f>IF(N125="","",MID(N125,FIND("/",N125)+1,LEN(N125)))</f>
        <v>4</v>
      </c>
      <c r="BQ125" s="8">
        <f t="shared" si="167"/>
        <v>0</v>
      </c>
      <c r="BR125" s="8">
        <f t="shared" si="168"/>
        <v>0</v>
      </c>
      <c r="BS125" s="8">
        <f t="shared" si="169"/>
        <v>0</v>
      </c>
      <c r="BT125" s="8">
        <f t="shared" si="170"/>
        <v>0</v>
      </c>
      <c r="BU125" s="8">
        <f t="shared" si="171"/>
        <v>0</v>
      </c>
      <c r="BV125" s="8">
        <f t="shared" si="172"/>
        <v>0</v>
      </c>
      <c r="BW125" s="8">
        <f t="shared" si="173"/>
        <v>0</v>
      </c>
      <c r="BX125" s="8">
        <f t="shared" si="174"/>
        <v>0</v>
      </c>
      <c r="BY125" s="8">
        <f t="shared" si="175"/>
        <v>0</v>
      </c>
      <c r="BZ125" s="8">
        <f t="shared" si="176"/>
        <v>0</v>
      </c>
      <c r="CA125" s="8">
        <f t="shared" si="177"/>
        <v>0</v>
      </c>
      <c r="CB125" s="8">
        <f t="shared" si="178"/>
        <v>0</v>
      </c>
      <c r="CC125" s="8">
        <f t="shared" si="179"/>
        <v>0</v>
      </c>
      <c r="CD125" s="8">
        <f t="shared" si="180"/>
        <v>0</v>
      </c>
      <c r="CE125" s="8">
        <f t="shared" si="181"/>
        <v>0</v>
      </c>
      <c r="CF125" s="8">
        <f t="shared" si="182"/>
        <v>0</v>
      </c>
      <c r="CG125" s="8">
        <f t="shared" si="183"/>
        <v>0</v>
      </c>
      <c r="CH125" s="8">
        <f t="shared" si="184"/>
        <v>0</v>
      </c>
      <c r="CI125" s="8">
        <f t="shared" si="185"/>
        <v>0</v>
      </c>
      <c r="CJ125" s="8">
        <f t="shared" si="194"/>
        <v>0</v>
      </c>
      <c r="CK125" s="8">
        <f t="shared" si="194"/>
        <v>0</v>
      </c>
      <c r="CL125" s="8">
        <f t="shared" si="194"/>
        <v>0</v>
      </c>
      <c r="CM125" s="8">
        <f t="shared" si="194"/>
        <v>0</v>
      </c>
      <c r="CN125" s="8">
        <f t="shared" si="194"/>
        <v>0</v>
      </c>
      <c r="CO125" s="8">
        <f t="shared" si="194"/>
        <v>0</v>
      </c>
      <c r="CP125" s="8">
        <f t="shared" si="194"/>
        <v>0</v>
      </c>
      <c r="CQ125" s="8">
        <f t="shared" si="137"/>
        <v>0</v>
      </c>
      <c r="CR125" s="8">
        <f t="shared" si="138"/>
        <v>0</v>
      </c>
      <c r="CS125" s="8">
        <f t="shared" si="139"/>
        <v>0</v>
      </c>
      <c r="CT125" s="8">
        <f t="shared" si="140"/>
        <v>0</v>
      </c>
      <c r="CU125" s="8">
        <f t="shared" si="141"/>
        <v>0</v>
      </c>
      <c r="CV125" s="8">
        <f t="shared" si="142"/>
        <v>0</v>
      </c>
      <c r="CW125" s="8">
        <f t="shared" si="143"/>
        <v>0</v>
      </c>
      <c r="CX125" s="8">
        <f t="shared" si="144"/>
        <v>0</v>
      </c>
      <c r="CY125" s="8">
        <f t="shared" si="145"/>
        <v>0</v>
      </c>
      <c r="CZ125" s="8">
        <f t="shared" si="146"/>
        <v>0</v>
      </c>
      <c r="DA125" s="8">
        <f t="shared" si="147"/>
        <v>0</v>
      </c>
      <c r="DB125" s="8">
        <f t="shared" si="148"/>
        <v>0</v>
      </c>
      <c r="DC125" s="8">
        <f t="shared" si="149"/>
        <v>0</v>
      </c>
      <c r="DD125" s="8">
        <f t="shared" si="150"/>
        <v>0</v>
      </c>
      <c r="DE125" s="8">
        <f t="shared" si="151"/>
        <v>0</v>
      </c>
      <c r="DF125" s="8">
        <f t="shared" si="152"/>
        <v>0</v>
      </c>
      <c r="DG125" s="8">
        <f t="shared" si="153"/>
        <v>0</v>
      </c>
      <c r="DH125" s="8">
        <f t="shared" si="154"/>
        <v>0</v>
      </c>
      <c r="DI125" s="8">
        <f t="shared" si="155"/>
        <v>0</v>
      </c>
      <c r="DJ125" s="8">
        <f t="shared" si="156"/>
        <v>0</v>
      </c>
      <c r="DK125" s="8">
        <f t="shared" si="157"/>
        <v>0</v>
      </c>
      <c r="DL125" s="8">
        <f t="shared" si="158"/>
        <v>0</v>
      </c>
      <c r="DM125" s="8">
        <f t="shared" si="159"/>
        <v>0</v>
      </c>
      <c r="DN125" s="8">
        <f t="shared" si="160"/>
        <v>0</v>
      </c>
      <c r="DO125" s="178"/>
      <c r="DP125" s="158"/>
      <c r="DQ125" s="158"/>
      <c r="DR125" s="158"/>
      <c r="DS125" s="158"/>
      <c r="DT125" s="158" t="s">
        <v>417</v>
      </c>
      <c r="DU125" s="158" t="s">
        <v>417</v>
      </c>
      <c r="DV125" s="158"/>
      <c r="DW125" s="158"/>
      <c r="DX125" s="158"/>
      <c r="DY125" s="158"/>
      <c r="DZ125" s="158"/>
      <c r="EA125" s="158"/>
      <c r="EB125" s="158"/>
      <c r="EC125" s="158"/>
      <c r="ED125" s="158"/>
      <c r="EE125" s="158"/>
      <c r="EF125" s="158"/>
      <c r="EG125" s="158"/>
      <c r="EH125" s="158"/>
      <c r="EI125" s="158"/>
      <c r="EJ125" s="159"/>
      <c r="EK125" s="182"/>
    </row>
    <row r="126" spans="2:141" ht="15.75" thickBot="1" x14ac:dyDescent="0.3">
      <c r="B126" s="69" t="str">
        <f>IF(Profession="","",IF(HLOOKUP(Profession,Skills!$DO$3:$EK$126,ROW(D126)-2,FALSE)="","",HLOOKUP(Profession,Skills!$DO$3:$EK$126,ROW(D126)-2,FALSE)))</f>
        <v/>
      </c>
      <c r="C126" s="71"/>
      <c r="D126" s="36" t="s">
        <v>109</v>
      </c>
      <c r="E126" s="36" t="str">
        <f t="shared" si="190"/>
        <v>Vocation</v>
      </c>
      <c r="F126" s="167"/>
      <c r="G126" s="148">
        <f t="shared" ca="1" si="164"/>
        <v>-17</v>
      </c>
      <c r="H126" s="148">
        <f ca="1">SUM(O126:(OFFSET(O126,0,Level)))</f>
        <v>0</v>
      </c>
      <c r="I126" s="148">
        <f t="shared" ca="1" si="191"/>
        <v>-25</v>
      </c>
      <c r="J126" s="148">
        <f t="shared" si="189"/>
        <v>8</v>
      </c>
      <c r="K126" s="225">
        <f t="shared" ca="1" si="192"/>
        <v>0</v>
      </c>
      <c r="L126" s="170"/>
      <c r="M126" s="148" t="str">
        <f>IF(D126="","",VLOOKUP(D126,DPCosts,2,FALSE))</f>
        <v>Em/Me/Re</v>
      </c>
      <c r="N126" s="148" t="str">
        <f>IF(OR(D126="", Profession=""),"",VLOOKUP(D126,DPCosts,MATCH(Profession,Professions,0)+2,FALSE))</f>
        <v>2/4</v>
      </c>
      <c r="O126" s="132" t="str">
        <f>IF(OR(D126="",Culture=""),"",VLOOKUP("Vocation: Choice2",CultureRanks,MATCH(Culture,CultureList,0)+1,FALSE))</f>
        <v/>
      </c>
      <c r="P126" s="170"/>
      <c r="Q126" s="170"/>
      <c r="R126" s="170"/>
      <c r="S126" s="170"/>
      <c r="T126" s="170"/>
      <c r="U126" s="167"/>
      <c r="V126" s="167"/>
      <c r="W126" s="167"/>
      <c r="X126" s="167"/>
      <c r="Y126" s="167"/>
      <c r="Z126" s="167"/>
      <c r="AA126" s="167"/>
      <c r="AB126" s="170"/>
      <c r="AC126" s="170"/>
      <c r="AD126" s="170"/>
      <c r="AE126" s="170"/>
      <c r="AF126" s="170"/>
      <c r="AG126" s="170"/>
      <c r="AH126" s="170"/>
      <c r="AI126" s="170"/>
      <c r="AJ126" s="170"/>
      <c r="AK126" s="170"/>
      <c r="AL126" s="170"/>
      <c r="AM126" s="170"/>
      <c r="AN126" s="170"/>
      <c r="AO126" s="170"/>
      <c r="AP126" s="170"/>
      <c r="AQ126" s="170"/>
      <c r="AR126" s="170"/>
      <c r="AS126" s="170"/>
      <c r="AT126" s="170"/>
      <c r="AU126" s="170"/>
      <c r="AV126" s="170"/>
      <c r="AW126" s="170"/>
      <c r="AX126" s="170"/>
      <c r="AY126" s="170"/>
      <c r="AZ126" s="170"/>
      <c r="BA126" s="170"/>
      <c r="BB126" s="170"/>
      <c r="BC126" s="170"/>
      <c r="BD126" s="170"/>
      <c r="BE126" s="170"/>
      <c r="BF126" s="170"/>
      <c r="BG126" s="170"/>
      <c r="BH126" s="170"/>
      <c r="BI126" s="170"/>
      <c r="BJ126" s="170"/>
      <c r="BK126" s="170"/>
      <c r="BL126" s="170"/>
      <c r="BM126" s="176"/>
      <c r="BO126" s="28" t="str">
        <f>IF(N126="","",MID(N126,1,FIND("/",N126)-1))</f>
        <v>2</v>
      </c>
      <c r="BP126" s="18" t="str">
        <f>IF(N126="","",MID(N126,FIND("/",N126)+1,LEN(N126)))</f>
        <v>4</v>
      </c>
      <c r="BQ126" s="18">
        <f t="shared" si="167"/>
        <v>0</v>
      </c>
      <c r="BR126" s="18">
        <f t="shared" si="168"/>
        <v>0</v>
      </c>
      <c r="BS126" s="18">
        <f t="shared" si="169"/>
        <v>0</v>
      </c>
      <c r="BT126" s="18">
        <f t="shared" si="170"/>
        <v>0</v>
      </c>
      <c r="BU126" s="18">
        <f t="shared" si="171"/>
        <v>0</v>
      </c>
      <c r="BV126" s="18">
        <f t="shared" si="172"/>
        <v>0</v>
      </c>
      <c r="BW126" s="18">
        <f t="shared" si="173"/>
        <v>0</v>
      </c>
      <c r="BX126" s="18">
        <f t="shared" si="174"/>
        <v>0</v>
      </c>
      <c r="BY126" s="18">
        <f t="shared" si="175"/>
        <v>0</v>
      </c>
      <c r="BZ126" s="18">
        <f t="shared" si="176"/>
        <v>0</v>
      </c>
      <c r="CA126" s="18">
        <f t="shared" si="177"/>
        <v>0</v>
      </c>
      <c r="CB126" s="18">
        <f t="shared" si="178"/>
        <v>0</v>
      </c>
      <c r="CC126" s="18">
        <f t="shared" si="179"/>
        <v>0</v>
      </c>
      <c r="CD126" s="18">
        <f t="shared" si="180"/>
        <v>0</v>
      </c>
      <c r="CE126" s="18">
        <f t="shared" si="181"/>
        <v>0</v>
      </c>
      <c r="CF126" s="18">
        <f t="shared" si="182"/>
        <v>0</v>
      </c>
      <c r="CG126" s="18">
        <f t="shared" si="183"/>
        <v>0</v>
      </c>
      <c r="CH126" s="18">
        <f t="shared" si="184"/>
        <v>0</v>
      </c>
      <c r="CI126" s="18">
        <f t="shared" si="185"/>
        <v>0</v>
      </c>
      <c r="CJ126" s="18">
        <f t="shared" si="194"/>
        <v>0</v>
      </c>
      <c r="CK126" s="18">
        <f t="shared" si="194"/>
        <v>0</v>
      </c>
      <c r="CL126" s="18">
        <f t="shared" si="194"/>
        <v>0</v>
      </c>
      <c r="CM126" s="18">
        <f t="shared" si="194"/>
        <v>0</v>
      </c>
      <c r="CN126" s="18">
        <f t="shared" si="194"/>
        <v>0</v>
      </c>
      <c r="CO126" s="18">
        <f t="shared" si="194"/>
        <v>0</v>
      </c>
      <c r="CP126" s="18">
        <f t="shared" si="194"/>
        <v>0</v>
      </c>
      <c r="CQ126" s="18">
        <f t="shared" si="137"/>
        <v>0</v>
      </c>
      <c r="CR126" s="18">
        <f t="shared" si="138"/>
        <v>0</v>
      </c>
      <c r="CS126" s="18">
        <f t="shared" si="139"/>
        <v>0</v>
      </c>
      <c r="CT126" s="18">
        <f t="shared" si="140"/>
        <v>0</v>
      </c>
      <c r="CU126" s="18">
        <f t="shared" si="141"/>
        <v>0</v>
      </c>
      <c r="CV126" s="18">
        <f t="shared" si="142"/>
        <v>0</v>
      </c>
      <c r="CW126" s="18">
        <f t="shared" si="143"/>
        <v>0</v>
      </c>
      <c r="CX126" s="18">
        <f t="shared" si="144"/>
        <v>0</v>
      </c>
      <c r="CY126" s="18">
        <f t="shared" si="145"/>
        <v>0</v>
      </c>
      <c r="CZ126" s="18">
        <f t="shared" si="146"/>
        <v>0</v>
      </c>
      <c r="DA126" s="18">
        <f t="shared" si="147"/>
        <v>0</v>
      </c>
      <c r="DB126" s="18">
        <f t="shared" si="148"/>
        <v>0</v>
      </c>
      <c r="DC126" s="18">
        <f t="shared" si="149"/>
        <v>0</v>
      </c>
      <c r="DD126" s="18">
        <f t="shared" si="150"/>
        <v>0</v>
      </c>
      <c r="DE126" s="18">
        <f t="shared" si="151"/>
        <v>0</v>
      </c>
      <c r="DF126" s="18">
        <f t="shared" si="152"/>
        <v>0</v>
      </c>
      <c r="DG126" s="18">
        <f t="shared" si="153"/>
        <v>0</v>
      </c>
      <c r="DH126" s="18">
        <f t="shared" si="154"/>
        <v>0</v>
      </c>
      <c r="DI126" s="18">
        <f t="shared" si="155"/>
        <v>0</v>
      </c>
      <c r="DJ126" s="18">
        <f t="shared" si="156"/>
        <v>0</v>
      </c>
      <c r="DK126" s="18">
        <f t="shared" si="157"/>
        <v>0</v>
      </c>
      <c r="DL126" s="18">
        <f t="shared" si="158"/>
        <v>0</v>
      </c>
      <c r="DM126" s="18">
        <f t="shared" si="159"/>
        <v>0</v>
      </c>
      <c r="DN126" s="162">
        <f t="shared" si="160"/>
        <v>0</v>
      </c>
      <c r="DO126" s="179"/>
      <c r="DP126" s="143"/>
      <c r="DQ126" s="143"/>
      <c r="DR126" s="143"/>
      <c r="DS126" s="143"/>
      <c r="DT126" s="143" t="s">
        <v>417</v>
      </c>
      <c r="DU126" s="143" t="s">
        <v>417</v>
      </c>
      <c r="DV126" s="143"/>
      <c r="DW126" s="143"/>
      <c r="DX126" s="143"/>
      <c r="DY126" s="143"/>
      <c r="DZ126" s="143"/>
      <c r="EA126" s="143"/>
      <c r="EB126" s="143"/>
      <c r="EC126" s="143"/>
      <c r="ED126" s="143"/>
      <c r="EE126" s="143"/>
      <c r="EF126" s="143"/>
      <c r="EG126" s="143"/>
      <c r="EH126" s="143"/>
      <c r="EI126" s="143"/>
      <c r="EJ126" s="144"/>
      <c r="EK126" s="183"/>
    </row>
    <row r="127" spans="2:141" x14ac:dyDescent="0.25">
      <c r="B127" s="240"/>
      <c r="K127" s="240"/>
    </row>
    <row r="128" spans="2:141" x14ac:dyDescent="0.25">
      <c r="BO128" s="6" t="s">
        <v>640</v>
      </c>
      <c r="BQ128" s="6">
        <f>IF(Character!$F$22=1,Character!$G$22,0)</f>
        <v>0</v>
      </c>
      <c r="BR128" s="6">
        <f>IF(Character!$F$22=2,Character!$G$22,0)</f>
        <v>0</v>
      </c>
      <c r="BS128" s="6">
        <f>IF(Character!$F$22=3,Character!$G$22,0)</f>
        <v>0</v>
      </c>
      <c r="BT128" s="6">
        <f>IF(Character!$F$22=4,Character!$G$22,0)</f>
        <v>0</v>
      </c>
      <c r="BU128" s="6">
        <f>IF(Character!$F$22=5,Character!$G$22,0)</f>
        <v>0</v>
      </c>
      <c r="BV128" s="6">
        <f>IF(Character!$F$22=6,Character!$G$22,0)</f>
        <v>0</v>
      </c>
      <c r="BW128" s="6">
        <f>IF(Character!$F$22=7,Character!$G$22,0)</f>
        <v>0</v>
      </c>
      <c r="BX128" s="6">
        <f>IF(Character!$F$22=8,Character!$G$22,0)</f>
        <v>0</v>
      </c>
      <c r="BY128" s="6">
        <f>IF(Character!$F$22=9,Character!$G$22,0)</f>
        <v>0</v>
      </c>
      <c r="BZ128" s="6">
        <f>IF(Character!$F$22=10,Character!$G$22,0)</f>
        <v>0</v>
      </c>
      <c r="CA128" s="6">
        <f>IF(Character!$F$22=11,Character!$G$22,0)</f>
        <v>0</v>
      </c>
      <c r="CB128" s="6">
        <f>IF(Character!$F$22=12,Character!$G$22,0)</f>
        <v>0</v>
      </c>
      <c r="CC128" s="6">
        <f>IF(Character!$F$22=13,Character!$G$22,0)</f>
        <v>0</v>
      </c>
      <c r="CD128" s="6">
        <f>IF(Character!$F$22=14,Character!$G$22,0)</f>
        <v>0</v>
      </c>
      <c r="CE128" s="6">
        <f>IF(Character!$F$22=15,Character!$G$22,0)</f>
        <v>0</v>
      </c>
      <c r="CF128" s="6">
        <f>IF(Character!$F$22=16,Character!$G$22,0)</f>
        <v>0</v>
      </c>
      <c r="CG128" s="6">
        <f>IF(Character!$F$22=17,Character!$G$22,0)</f>
        <v>0</v>
      </c>
      <c r="CH128" s="6">
        <f>IF(Character!$F$22=CH3,Character!$G$22,0)</f>
        <v>0</v>
      </c>
      <c r="CI128" s="6">
        <f>IF(Character!$F$22=CI3,Character!$G$22,0)</f>
        <v>0</v>
      </c>
      <c r="CJ128" s="6">
        <f>IF(Character!$F$22=CJ3,Character!$G$22,0)</f>
        <v>0</v>
      </c>
      <c r="CK128" s="6">
        <f>IF(Character!$F$22=CK3,Character!$G$22,0)</f>
        <v>0</v>
      </c>
      <c r="CL128" s="6">
        <f>IF(Character!$F$22=CL3,Character!$G$22,0)</f>
        <v>0</v>
      </c>
      <c r="CM128" s="6">
        <f>IF(Character!$F$22=CM3,Character!$G$22,0)</f>
        <v>0</v>
      </c>
      <c r="CN128" s="6">
        <f>IF(Character!$F$22=CN3,Character!$G$22,0)</f>
        <v>0</v>
      </c>
      <c r="CO128" s="6">
        <f>IF(Character!$F$22=CO3,Character!$G$22,0)</f>
        <v>0</v>
      </c>
      <c r="CP128" s="6">
        <f>IF(Character!$F$22=CP3,Character!$G$22,0)</f>
        <v>0</v>
      </c>
      <c r="CQ128" s="6">
        <f>IF(Character!$F$22=CQ3,Character!$G$22,0)</f>
        <v>0</v>
      </c>
      <c r="CR128" s="6">
        <f>IF(Character!$F$22=CR3,Character!$G$22,0)</f>
        <v>0</v>
      </c>
      <c r="CS128" s="6">
        <f>IF(Character!$F$22=CS3,Character!$G$22,0)</f>
        <v>0</v>
      </c>
      <c r="CT128" s="6">
        <f>IF(Character!$F$22=CT3,Character!$G$22,0)</f>
        <v>0</v>
      </c>
      <c r="CU128" s="6">
        <f>IF(Character!$F$22=CU3,Character!$G$22,0)</f>
        <v>0</v>
      </c>
      <c r="CV128" s="6">
        <f>IF(Character!$F$22=CV3,Character!$G$22,0)</f>
        <v>0</v>
      </c>
      <c r="CW128" s="6">
        <f>IF(Character!$F$22=CW3,Character!$G$22,0)</f>
        <v>0</v>
      </c>
      <c r="CX128" s="6">
        <f>IF(Character!$F$22=CX3,Character!$G$22,0)</f>
        <v>0</v>
      </c>
      <c r="CY128" s="6">
        <f>IF(Character!$F$22=CY3,Character!$G$22,0)</f>
        <v>0</v>
      </c>
      <c r="CZ128" s="6">
        <f>IF(Character!$F$22=CZ3,Character!$G$22,0)</f>
        <v>0</v>
      </c>
      <c r="DA128" s="6">
        <f>IF(Character!$F$22=DA3,Character!$G$22,0)</f>
        <v>0</v>
      </c>
      <c r="DB128" s="6">
        <f>IF(Character!$F$22=DB3,Character!$G$22,0)</f>
        <v>0</v>
      </c>
      <c r="DC128" s="6">
        <f>IF(Character!$F$22=DC3,Character!$G$22,0)</f>
        <v>0</v>
      </c>
      <c r="DD128" s="6">
        <f>IF(Character!$F$22=DD3,Character!$G$22,0)</f>
        <v>0</v>
      </c>
      <c r="DE128" s="6">
        <f>IF(Character!$F$22=DE3,Character!$G$22,0)</f>
        <v>0</v>
      </c>
      <c r="DF128" s="6">
        <f>IF(Character!$F$22=DF3,Character!$G$22,0)</f>
        <v>0</v>
      </c>
      <c r="DG128" s="6">
        <f>IF(Character!$F$22=DG3,Character!$G$22,0)</f>
        <v>0</v>
      </c>
      <c r="DH128" s="6">
        <f>IF(Character!$F$22=DH3,Character!$G$22,0)</f>
        <v>0</v>
      </c>
      <c r="DI128" s="6">
        <f>IF(Character!$F$22=DI3,Character!$G$22,0)</f>
        <v>0</v>
      </c>
      <c r="DJ128" s="6">
        <f>IF(Character!$F$22=DJ3,Character!$G$22,0)</f>
        <v>0</v>
      </c>
      <c r="DK128" s="6">
        <f>IF(Character!$F$22=DK3,Character!$G$22,0)</f>
        <v>0</v>
      </c>
      <c r="DL128" s="6">
        <f>IF(Character!$F$22=DL3,Character!$G$22,0)</f>
        <v>0</v>
      </c>
      <c r="DM128" s="6">
        <f>IF(Character!$F$22=DM3,Character!$G$22,0)</f>
        <v>0</v>
      </c>
      <c r="DN128" s="6">
        <f>IF(Character!$F$22=DN3,Character!$G$22,0)</f>
        <v>0</v>
      </c>
    </row>
    <row r="129" spans="67:119" x14ac:dyDescent="0.25">
      <c r="BO129" s="6" t="s">
        <v>641</v>
      </c>
      <c r="BQ129" s="6">
        <f>IF(Character!$F$23=BQ3,Character!$G$23,0)</f>
        <v>0</v>
      </c>
      <c r="BR129" s="6">
        <f>IF(Character!$F$23=BR3,Character!$G$23,0)</f>
        <v>0</v>
      </c>
      <c r="BS129" s="6">
        <f>IF(Character!$F$23=BS3,Character!$G$23,0)</f>
        <v>0</v>
      </c>
      <c r="BT129" s="6">
        <f>IF(Character!$F$23=BT3,Character!$G$23,0)</f>
        <v>0</v>
      </c>
      <c r="BU129" s="6">
        <f>IF(Character!$F$23=BU3,Character!$G$23,0)</f>
        <v>0</v>
      </c>
      <c r="BV129" s="6">
        <f>IF(Character!$F$23=BV3,Character!$G$23,0)</f>
        <v>0</v>
      </c>
      <c r="BW129" s="6">
        <f>IF(Character!$F$23=BW3,Character!$G$23,0)</f>
        <v>0</v>
      </c>
      <c r="BX129" s="6">
        <f>IF(Character!$F$23=BX3,Character!$G$23,0)</f>
        <v>0</v>
      </c>
      <c r="BY129" s="6">
        <f>IF(Character!$F$23=BY3,Character!$G$23,0)</f>
        <v>0</v>
      </c>
      <c r="BZ129" s="6">
        <f>IF(Character!$F$23=BZ3,Character!$G$23,0)</f>
        <v>0</v>
      </c>
      <c r="CA129" s="6">
        <f>IF(Character!$F$23=CA3,Character!$G$23,0)</f>
        <v>0</v>
      </c>
      <c r="CB129" s="6">
        <f>IF(Character!$F$23=CB3,Character!$G$23,0)</f>
        <v>0</v>
      </c>
      <c r="CC129" s="6">
        <f>IF(Character!$F$23=CC3,Character!$G$23,0)</f>
        <v>0</v>
      </c>
      <c r="CD129" s="6">
        <f>IF(Character!$F$23=CD3,Character!$G$23,0)</f>
        <v>0</v>
      </c>
      <c r="CE129" s="6">
        <f>IF(Character!$F$23=CE3,Character!$G$23,0)</f>
        <v>0</v>
      </c>
      <c r="CF129" s="6">
        <f>IF(Character!$F$23=CF3,Character!$G$23,0)</f>
        <v>0</v>
      </c>
      <c r="CG129" s="6">
        <f>IF(Character!$F$23=CG3,Character!$G$23,0)</f>
        <v>0</v>
      </c>
      <c r="CH129" s="6">
        <f>IF(Character!$F$23=CH3,Character!$G$23,0)</f>
        <v>0</v>
      </c>
      <c r="CI129" s="6">
        <f>IF(Character!$F$23=CI3,Character!$G$23,0)</f>
        <v>0</v>
      </c>
      <c r="CJ129" s="6">
        <f>IF(Character!$F$23=CJ3,Character!$G$23,0)</f>
        <v>0</v>
      </c>
      <c r="CK129" s="6">
        <f>IF(Character!$F$23=CK3,Character!$G$23,0)</f>
        <v>0</v>
      </c>
      <c r="CL129" s="6">
        <f>IF(Character!$F$23=CL3,Character!$G$23,0)</f>
        <v>0</v>
      </c>
      <c r="CM129" s="6">
        <f>IF(Character!$F$23=CM3,Character!$G$23,0)</f>
        <v>0</v>
      </c>
      <c r="CN129" s="6">
        <f>IF(Character!$F$23=CN3,Character!$G$23,0)</f>
        <v>0</v>
      </c>
      <c r="CO129" s="6">
        <f>IF(Character!$F$23=CO3,Character!$G$23,0)</f>
        <v>0</v>
      </c>
      <c r="CP129" s="6">
        <f>IF(Character!$F$23=CP3,Character!$G$23,0)</f>
        <v>0</v>
      </c>
      <c r="CQ129" s="6">
        <f>IF(Character!$F$23=CQ3,Character!$G$23,0)</f>
        <v>0</v>
      </c>
      <c r="CR129" s="6">
        <f>IF(Character!$F$23=CR3,Character!$G$23,0)</f>
        <v>0</v>
      </c>
      <c r="CS129" s="6">
        <f>IF(Character!$F$23=CS3,Character!$G$23,0)</f>
        <v>0</v>
      </c>
      <c r="CT129" s="6">
        <f>IF(Character!$F$23=CT3,Character!$G$23,0)</f>
        <v>0</v>
      </c>
      <c r="CU129" s="6">
        <f>IF(Character!$F$23=CU3,Character!$G$23,0)</f>
        <v>0</v>
      </c>
      <c r="CV129" s="6">
        <f>IF(Character!$F$23=CV3,Character!$G$23,0)</f>
        <v>0</v>
      </c>
      <c r="CW129" s="6">
        <f>IF(Character!$F$23=CW3,Character!$G$23,0)</f>
        <v>0</v>
      </c>
      <c r="CX129" s="6">
        <f>IF(Character!$F$23=CX3,Character!$G$23,0)</f>
        <v>0</v>
      </c>
      <c r="CY129" s="6">
        <f>IF(Character!$F$23=CY3,Character!$G$23,0)</f>
        <v>0</v>
      </c>
      <c r="CZ129" s="6">
        <f>IF(Character!$F$23=CZ3,Character!$G$23,0)</f>
        <v>0</v>
      </c>
      <c r="DA129" s="6">
        <f>IF(Character!$F$23=DA3,Character!$G$23,0)</f>
        <v>0</v>
      </c>
      <c r="DB129" s="6">
        <f>IF(Character!$F$23=DB3,Character!$G$23,0)</f>
        <v>0</v>
      </c>
      <c r="DC129" s="6">
        <f>IF(Character!$F$23=DC3,Character!$G$23,0)</f>
        <v>0</v>
      </c>
      <c r="DD129" s="6">
        <f>IF(Character!$F$23=DD3,Character!$G$23,0)</f>
        <v>0</v>
      </c>
      <c r="DE129" s="6">
        <f>IF(Character!$F$23=DE3,Character!$G$23,0)</f>
        <v>0</v>
      </c>
      <c r="DF129" s="6">
        <f>IF(Character!$F$23=DF3,Character!$G$23,0)</f>
        <v>0</v>
      </c>
      <c r="DG129" s="6">
        <f>IF(Character!$F$23=DG3,Character!$G$23,0)</f>
        <v>0</v>
      </c>
      <c r="DH129" s="6">
        <f>IF(Character!$F$23=DH3,Character!$G$23,0)</f>
        <v>0</v>
      </c>
      <c r="DI129" s="6">
        <f>IF(Character!$F$23=DI3,Character!$G$23,0)</f>
        <v>0</v>
      </c>
      <c r="DJ129" s="6">
        <f>IF(Character!$F$23=DJ3,Character!$G$23,0)</f>
        <v>0</v>
      </c>
      <c r="DK129" s="6">
        <f>IF(Character!$F$23=DK3,Character!$G$23,0)</f>
        <v>0</v>
      </c>
      <c r="DL129" s="6">
        <f>IF(Character!$F$23=DL3,Character!$G$23,0)</f>
        <v>0</v>
      </c>
      <c r="DM129" s="6">
        <f>IF(Character!$F$23=DM3,Character!$G$23,0)</f>
        <v>0</v>
      </c>
      <c r="DN129" s="6">
        <f>IF(Character!$F$23=DN3,Character!$G$23,0)</f>
        <v>0</v>
      </c>
    </row>
    <row r="130" spans="67:119" x14ac:dyDescent="0.25">
      <c r="BO130" s="6" t="s">
        <v>642</v>
      </c>
      <c r="BQ130" s="6">
        <f>IF(Character!$F$24=1,Character!$G$24,0)</f>
        <v>0</v>
      </c>
      <c r="BR130" s="6">
        <f>IF(Character!$F$24=1,Character!$G$24,0)</f>
        <v>0</v>
      </c>
      <c r="BS130" s="6">
        <f>IF(Character!$F$24=1,Character!$G$24,0)</f>
        <v>0</v>
      </c>
      <c r="BT130" s="6">
        <f>IF(Character!$F$24=1,Character!$G$24,0)</f>
        <v>0</v>
      </c>
      <c r="BU130" s="6">
        <f>IF(Character!$F$24=1,Character!$G$24,0)</f>
        <v>0</v>
      </c>
      <c r="BV130" s="6">
        <f>IF(Character!$F$24=1,Character!$G$24,0)</f>
        <v>0</v>
      </c>
      <c r="BW130" s="6">
        <f>IF(Character!$F$24=1,Character!$G$24,0)</f>
        <v>0</v>
      </c>
      <c r="BX130" s="6">
        <f>IF(Character!$F$24=1,Character!$G$24,0)</f>
        <v>0</v>
      </c>
      <c r="BY130" s="6">
        <f>IF(Character!$F$24=1,Character!$G$24,0)</f>
        <v>0</v>
      </c>
      <c r="BZ130" s="6">
        <f>IF(Character!$F$24=1,Character!$G$24,0)</f>
        <v>0</v>
      </c>
      <c r="CA130" s="6">
        <f>IF(Character!$F$24=1,Character!$G$24,0)</f>
        <v>0</v>
      </c>
      <c r="CB130" s="6">
        <f>IF(Character!$F$24=1,Character!$G$24,0)</f>
        <v>0</v>
      </c>
      <c r="CC130" s="6">
        <f>IF(Character!$F$24=1,Character!$G$24,0)</f>
        <v>0</v>
      </c>
      <c r="CD130" s="6">
        <f>IF(Character!$F$24=1,Character!$G$24,0)</f>
        <v>0</v>
      </c>
      <c r="CE130" s="6">
        <f>IF(Character!$F$24=1,Character!$G$24,0)</f>
        <v>0</v>
      </c>
      <c r="CF130" s="6">
        <f>IF(Character!$F$24=1,Character!$G$24,0)</f>
        <v>0</v>
      </c>
      <c r="CG130" s="6">
        <f>IF(Character!$F$24=1,Character!$G$24,0)</f>
        <v>0</v>
      </c>
      <c r="CH130" s="6">
        <f>IF(Character!$F$24=1,Character!$G$24,0)</f>
        <v>0</v>
      </c>
      <c r="CI130" s="6">
        <f>IF(Character!$F$24=1,Character!$G$24,0)</f>
        <v>0</v>
      </c>
      <c r="CJ130" s="6">
        <f>IF(Character!$F$24=1,Character!$G$24,0)</f>
        <v>0</v>
      </c>
      <c r="CK130" s="6">
        <f>IF(Character!$F$24=1,Character!$G$24,0)</f>
        <v>0</v>
      </c>
      <c r="CL130" s="6">
        <f>IF(Character!$F$24=1,Character!$G$24,0)</f>
        <v>0</v>
      </c>
      <c r="CM130" s="6">
        <f>IF(Character!$F$24=1,Character!$G$24,0)</f>
        <v>0</v>
      </c>
      <c r="CN130" s="6">
        <f>IF(Character!$F$24=1,Character!$G$24,0)</f>
        <v>0</v>
      </c>
      <c r="CO130" s="6">
        <f>IF(Character!$F$24=1,Character!$G$24,0)</f>
        <v>0</v>
      </c>
      <c r="CP130" s="6">
        <f>IF(Character!$F$24=1,Character!$G$24,0)</f>
        <v>0</v>
      </c>
      <c r="CQ130" s="6">
        <f>IF(Character!$F$24=1,Character!$G$24,0)</f>
        <v>0</v>
      </c>
      <c r="CR130" s="6">
        <f>IF(Character!$F$24=1,Character!$G$24,0)</f>
        <v>0</v>
      </c>
      <c r="CS130" s="6">
        <f>IF(Character!$F$24=1,Character!$G$24,0)</f>
        <v>0</v>
      </c>
      <c r="CT130" s="6">
        <f>IF(Character!$F$24=1,Character!$G$24,0)</f>
        <v>0</v>
      </c>
      <c r="CU130" s="6">
        <f>IF(Character!$F$24=1,Character!$G$24,0)</f>
        <v>0</v>
      </c>
      <c r="CV130" s="6">
        <f>IF(Character!$F$24=1,Character!$G$24,0)</f>
        <v>0</v>
      </c>
      <c r="CW130" s="6">
        <f>IF(Character!$F$24=1,Character!$G$24,0)</f>
        <v>0</v>
      </c>
      <c r="CX130" s="6">
        <f>IF(Character!$F$24=1,Character!$G$24,0)</f>
        <v>0</v>
      </c>
      <c r="CY130" s="6">
        <f>IF(Character!$F$24=1,Character!$G$24,0)</f>
        <v>0</v>
      </c>
      <c r="CZ130" s="6">
        <f>IF(Character!$F$24=1,Character!$G$24,0)</f>
        <v>0</v>
      </c>
      <c r="DA130" s="6">
        <f>IF(Character!$F$24=1,Character!$G$24,0)</f>
        <v>0</v>
      </c>
      <c r="DB130" s="6">
        <f>IF(Character!$F$24=1,Character!$G$24,0)</f>
        <v>0</v>
      </c>
      <c r="DC130" s="6">
        <f>IF(Character!$F$24=1,Character!$G$24,0)</f>
        <v>0</v>
      </c>
      <c r="DD130" s="6">
        <f>IF(Character!$F$24=1,Character!$G$24,0)</f>
        <v>0</v>
      </c>
      <c r="DE130" s="6">
        <f>IF(Character!$F$24=1,Character!$G$24,0)</f>
        <v>0</v>
      </c>
      <c r="DF130" s="6">
        <f>IF(Character!$F$24=1,Character!$G$24,0)</f>
        <v>0</v>
      </c>
      <c r="DG130" s="6">
        <f>IF(Character!$F$24=1,Character!$G$24,0)</f>
        <v>0</v>
      </c>
      <c r="DH130" s="6">
        <f>IF(Character!$F$24=1,Character!$G$24,0)</f>
        <v>0</v>
      </c>
      <c r="DI130" s="6">
        <f>IF(Character!$F$24=1,Character!$G$24,0)</f>
        <v>0</v>
      </c>
      <c r="DJ130" s="6">
        <f>IF(Character!$F$24=1,Character!$G$24,0)</f>
        <v>0</v>
      </c>
      <c r="DK130" s="6">
        <f>IF(Character!$F$24=1,Character!$G$24,0)</f>
        <v>0</v>
      </c>
      <c r="DL130" s="6">
        <f>IF(Character!$F$24=1,Character!$G$24,0)</f>
        <v>0</v>
      </c>
      <c r="DM130" s="6">
        <f>IF(Character!$F$24=1,Character!$G$24,0)</f>
        <v>0</v>
      </c>
      <c r="DN130" s="6">
        <f>IF(Character!$F$24=1,Character!$G$24,0)</f>
        <v>0</v>
      </c>
    </row>
    <row r="131" spans="67:119" x14ac:dyDescent="0.25">
      <c r="BO131" s="6" t="s">
        <v>643</v>
      </c>
      <c r="BQ131" s="6">
        <f>IF(Character!$F$25=1,Character!$G$25,0)</f>
        <v>0</v>
      </c>
      <c r="BR131" s="6">
        <f>IF(Character!$F$25=1,Character!$G$25,0)</f>
        <v>0</v>
      </c>
      <c r="BS131" s="6">
        <f>IF(Character!$F$25=1,Character!$G$25,0)</f>
        <v>0</v>
      </c>
      <c r="BT131" s="6">
        <f>IF(Character!$F$25=1,Character!$G$25,0)</f>
        <v>0</v>
      </c>
      <c r="BU131" s="6">
        <f>IF(Character!$F$25=1,Character!$G$25,0)</f>
        <v>0</v>
      </c>
      <c r="BV131" s="6">
        <f>IF(Character!$F$25=1,Character!$G$25,0)</f>
        <v>0</v>
      </c>
      <c r="BW131" s="6">
        <f>IF(Character!$F$25=1,Character!$G$25,0)</f>
        <v>0</v>
      </c>
      <c r="BX131" s="6">
        <f>IF(Character!$F$25=1,Character!$G$25,0)</f>
        <v>0</v>
      </c>
      <c r="BY131" s="6">
        <f>IF(Character!$F$25=1,Character!$G$25,0)</f>
        <v>0</v>
      </c>
      <c r="BZ131" s="6">
        <f>IF(Character!$F$25=1,Character!$G$25,0)</f>
        <v>0</v>
      </c>
      <c r="CA131" s="6">
        <f>IF(Character!$F$25=1,Character!$G$25,0)</f>
        <v>0</v>
      </c>
      <c r="CB131" s="6">
        <f>IF(Character!$F$25=1,Character!$G$25,0)</f>
        <v>0</v>
      </c>
      <c r="CC131" s="6">
        <f>IF(Character!$F$25=1,Character!$G$25,0)</f>
        <v>0</v>
      </c>
      <c r="CD131" s="6">
        <f>IF(Character!$F$25=1,Character!$G$25,0)</f>
        <v>0</v>
      </c>
      <c r="CE131" s="6">
        <f>IF(Character!$F$25=1,Character!$G$25,0)</f>
        <v>0</v>
      </c>
      <c r="CF131" s="6">
        <f>IF(Character!$F$25=1,Character!$G$25,0)</f>
        <v>0</v>
      </c>
      <c r="CG131" s="6">
        <f>IF(Character!$F$25=1,Character!$G$25,0)</f>
        <v>0</v>
      </c>
      <c r="CH131" s="6">
        <f>IF(Character!$F$25=1,Character!$G$25,0)</f>
        <v>0</v>
      </c>
      <c r="CI131" s="6">
        <f>IF(Character!$F$25=1,Character!$G$25,0)</f>
        <v>0</v>
      </c>
      <c r="CJ131" s="6">
        <f>IF(Character!$F$25=1,Character!$G$25,0)</f>
        <v>0</v>
      </c>
      <c r="CK131" s="6">
        <f>IF(Character!$F$25=1,Character!$G$25,0)</f>
        <v>0</v>
      </c>
      <c r="CL131" s="6">
        <f>IF(Character!$F$25=1,Character!$G$25,0)</f>
        <v>0</v>
      </c>
      <c r="CM131" s="6">
        <f>IF(Character!$F$25=1,Character!$G$25,0)</f>
        <v>0</v>
      </c>
      <c r="CN131" s="6">
        <f>IF(Character!$F$25=1,Character!$G$25,0)</f>
        <v>0</v>
      </c>
      <c r="CO131" s="6">
        <f>IF(Character!$F$25=1,Character!$G$25,0)</f>
        <v>0</v>
      </c>
      <c r="CP131" s="6">
        <f>IF(Character!$F$25=1,Character!$G$25,0)</f>
        <v>0</v>
      </c>
      <c r="CQ131" s="6">
        <f>IF(Character!$F$25=1,Character!$G$25,0)</f>
        <v>0</v>
      </c>
      <c r="CR131" s="6">
        <f>IF(Character!$F$25=1,Character!$G$25,0)</f>
        <v>0</v>
      </c>
      <c r="CS131" s="6">
        <f>IF(Character!$F$25=1,Character!$G$25,0)</f>
        <v>0</v>
      </c>
      <c r="CT131" s="6">
        <f>IF(Character!$F$25=1,Character!$G$25,0)</f>
        <v>0</v>
      </c>
      <c r="CU131" s="6">
        <f>IF(Character!$F$25=1,Character!$G$25,0)</f>
        <v>0</v>
      </c>
      <c r="CV131" s="6">
        <f>IF(Character!$F$25=1,Character!$G$25,0)</f>
        <v>0</v>
      </c>
      <c r="CW131" s="6">
        <f>IF(Character!$F$25=1,Character!$G$25,0)</f>
        <v>0</v>
      </c>
      <c r="CX131" s="6">
        <f>IF(Character!$F$25=1,Character!$G$25,0)</f>
        <v>0</v>
      </c>
      <c r="CY131" s="6">
        <f>IF(Character!$F$25=1,Character!$G$25,0)</f>
        <v>0</v>
      </c>
      <c r="CZ131" s="6">
        <f>IF(Character!$F$25=1,Character!$G$25,0)</f>
        <v>0</v>
      </c>
      <c r="DA131" s="6">
        <f>IF(Character!$F$25=1,Character!$G$25,0)</f>
        <v>0</v>
      </c>
      <c r="DB131" s="6">
        <f>IF(Character!$F$25=1,Character!$G$25,0)</f>
        <v>0</v>
      </c>
      <c r="DC131" s="6">
        <f>IF(Character!$F$25=1,Character!$G$25,0)</f>
        <v>0</v>
      </c>
      <c r="DD131" s="6">
        <f>IF(Character!$F$25=1,Character!$G$25,0)</f>
        <v>0</v>
      </c>
      <c r="DE131" s="6">
        <f>IF(Character!$F$25=1,Character!$G$25,0)</f>
        <v>0</v>
      </c>
      <c r="DF131" s="6">
        <f>IF(Character!$F$25=1,Character!$G$25,0)</f>
        <v>0</v>
      </c>
      <c r="DG131" s="6">
        <f>IF(Character!$F$25=1,Character!$G$25,0)</f>
        <v>0</v>
      </c>
      <c r="DH131" s="6">
        <f>IF(Character!$F$25=1,Character!$G$25,0)</f>
        <v>0</v>
      </c>
      <c r="DI131" s="6">
        <f>IF(Character!$F$25=1,Character!$G$25,0)</f>
        <v>0</v>
      </c>
      <c r="DJ131" s="6">
        <f>IF(Character!$F$25=1,Character!$G$25,0)</f>
        <v>0</v>
      </c>
      <c r="DK131" s="6">
        <f>IF(Character!$F$25=1,Character!$G$25,0)</f>
        <v>0</v>
      </c>
      <c r="DL131" s="6">
        <f>IF(Character!$F$25=1,Character!$G$25,0)</f>
        <v>0</v>
      </c>
      <c r="DM131" s="6">
        <f>IF(Character!$F$25=1,Character!$G$25,0)</f>
        <v>0</v>
      </c>
      <c r="DN131" s="6">
        <f>IF(Character!$F$25=1,Character!$G$25,0)</f>
        <v>0</v>
      </c>
    </row>
    <row r="132" spans="67:119" x14ac:dyDescent="0.25">
      <c r="BO132" s="6" t="s">
        <v>644</v>
      </c>
      <c r="BQ132" s="6">
        <f>IF(Character!$F$26=1,Character!$G$26,0)</f>
        <v>0</v>
      </c>
      <c r="BR132" s="6">
        <f>IF(Character!$F$26=1,Character!$G$26,0)</f>
        <v>0</v>
      </c>
      <c r="BS132" s="6">
        <f>IF(Character!$F$26=1,Character!$G$26,0)</f>
        <v>0</v>
      </c>
      <c r="BT132" s="6">
        <f>IF(Character!$F$26=1,Character!$G$26,0)</f>
        <v>0</v>
      </c>
      <c r="BU132" s="6">
        <f>IF(Character!$F$26=1,Character!$G$26,0)</f>
        <v>0</v>
      </c>
      <c r="BV132" s="6">
        <f>IF(Character!$F$26=1,Character!$G$26,0)</f>
        <v>0</v>
      </c>
      <c r="BW132" s="6">
        <f>IF(Character!$F$26=1,Character!$G$26,0)</f>
        <v>0</v>
      </c>
      <c r="BX132" s="6">
        <f>IF(Character!$F$26=1,Character!$G$26,0)</f>
        <v>0</v>
      </c>
      <c r="BY132" s="6">
        <f>IF(Character!$F$26=1,Character!$G$26,0)</f>
        <v>0</v>
      </c>
      <c r="BZ132" s="6">
        <f>IF(Character!$F$26=1,Character!$G$26,0)</f>
        <v>0</v>
      </c>
      <c r="CA132" s="6">
        <f>IF(Character!$F$26=1,Character!$G$26,0)</f>
        <v>0</v>
      </c>
      <c r="CB132" s="6">
        <f>IF(Character!$F$26=1,Character!$G$26,0)</f>
        <v>0</v>
      </c>
      <c r="CC132" s="6">
        <f>IF(Character!$F$26=1,Character!$G$26,0)</f>
        <v>0</v>
      </c>
      <c r="CD132" s="6">
        <f>IF(Character!$F$26=1,Character!$G$26,0)</f>
        <v>0</v>
      </c>
      <c r="CE132" s="6">
        <f>IF(Character!$F$26=1,Character!$G$26,0)</f>
        <v>0</v>
      </c>
      <c r="CF132" s="6">
        <f>IF(Character!$F$26=1,Character!$G$26,0)</f>
        <v>0</v>
      </c>
      <c r="CG132" s="6">
        <f>IF(Character!$F$26=1,Character!$G$26,0)</f>
        <v>0</v>
      </c>
      <c r="CH132" s="6">
        <f>IF(Character!$F$26=1,Character!$G$26,0)</f>
        <v>0</v>
      </c>
      <c r="CI132" s="6">
        <f>IF(Character!$F$26=1,Character!$G$26,0)</f>
        <v>0</v>
      </c>
      <c r="CJ132" s="6">
        <f>IF(Character!$F$26=1,Character!$G$26,0)</f>
        <v>0</v>
      </c>
      <c r="CK132" s="6">
        <f>IF(Character!$F$26=1,Character!$G$26,0)</f>
        <v>0</v>
      </c>
      <c r="CL132" s="6">
        <f>IF(Character!$F$26=1,Character!$G$26,0)</f>
        <v>0</v>
      </c>
      <c r="CM132" s="6">
        <f>IF(Character!$F$26=1,Character!$G$26,0)</f>
        <v>0</v>
      </c>
      <c r="CN132" s="6">
        <f>IF(Character!$F$26=1,Character!$G$26,0)</f>
        <v>0</v>
      </c>
      <c r="CO132" s="6">
        <f>IF(Character!$F$26=1,Character!$G$26,0)</f>
        <v>0</v>
      </c>
      <c r="CP132" s="6">
        <f>IF(Character!$F$26=1,Character!$G$26,0)</f>
        <v>0</v>
      </c>
      <c r="CQ132" s="6">
        <f>IF(Character!$F$26=1,Character!$G$26,0)</f>
        <v>0</v>
      </c>
      <c r="CR132" s="6">
        <f>IF(Character!$F$26=1,Character!$G$26,0)</f>
        <v>0</v>
      </c>
      <c r="CS132" s="6">
        <f>IF(Character!$F$26=1,Character!$G$26,0)</f>
        <v>0</v>
      </c>
      <c r="CT132" s="6">
        <f>IF(Character!$F$26=1,Character!$G$26,0)</f>
        <v>0</v>
      </c>
      <c r="CU132" s="6">
        <f>IF(Character!$F$26=1,Character!$G$26,0)</f>
        <v>0</v>
      </c>
      <c r="CV132" s="6">
        <f>IF(Character!$F$26=1,Character!$G$26,0)</f>
        <v>0</v>
      </c>
      <c r="CW132" s="6">
        <f>IF(Character!$F$26=1,Character!$G$26,0)</f>
        <v>0</v>
      </c>
      <c r="CX132" s="6">
        <f>IF(Character!$F$26=1,Character!$G$26,0)</f>
        <v>0</v>
      </c>
      <c r="CY132" s="6">
        <f>IF(Character!$F$26=1,Character!$G$26,0)</f>
        <v>0</v>
      </c>
      <c r="CZ132" s="6">
        <f>IF(Character!$F$26=1,Character!$G$26,0)</f>
        <v>0</v>
      </c>
      <c r="DA132" s="6">
        <f>IF(Character!$F$26=1,Character!$G$26,0)</f>
        <v>0</v>
      </c>
      <c r="DB132" s="6">
        <f>IF(Character!$F$26=1,Character!$G$26,0)</f>
        <v>0</v>
      </c>
      <c r="DC132" s="6">
        <f>IF(Character!$F$26=1,Character!$G$26,0)</f>
        <v>0</v>
      </c>
      <c r="DD132" s="6">
        <f>IF(Character!$F$26=1,Character!$G$26,0)</f>
        <v>0</v>
      </c>
      <c r="DE132" s="6">
        <f>IF(Character!$F$26=1,Character!$G$26,0)</f>
        <v>0</v>
      </c>
      <c r="DF132" s="6">
        <f>IF(Character!$F$26=1,Character!$G$26,0)</f>
        <v>0</v>
      </c>
      <c r="DG132" s="6">
        <f>IF(Character!$F$26=1,Character!$G$26,0)</f>
        <v>0</v>
      </c>
      <c r="DH132" s="6">
        <f>IF(Character!$F$26=1,Character!$G$26,0)</f>
        <v>0</v>
      </c>
      <c r="DI132" s="6">
        <f>IF(Character!$F$26=1,Character!$G$26,0)</f>
        <v>0</v>
      </c>
      <c r="DJ132" s="6">
        <f>IF(Character!$F$26=1,Character!$G$26,0)</f>
        <v>0</v>
      </c>
      <c r="DK132" s="6">
        <f>IF(Character!$F$26=1,Character!$G$26,0)</f>
        <v>0</v>
      </c>
      <c r="DL132" s="6">
        <f>IF(Character!$F$26=1,Character!$G$26,0)</f>
        <v>0</v>
      </c>
      <c r="DM132" s="6">
        <f>IF(Character!$F$26=1,Character!$G$26,0)</f>
        <v>0</v>
      </c>
      <c r="DN132" s="6">
        <f>IF(Character!$F$26=1,Character!$G$26,0)</f>
        <v>0</v>
      </c>
    </row>
    <row r="133" spans="67:119" x14ac:dyDescent="0.25">
      <c r="BO133" s="6" t="s">
        <v>645</v>
      </c>
      <c r="BQ133" s="6">
        <f>IF(Character!$F$27=1,Character!$G$27,0)</f>
        <v>0</v>
      </c>
      <c r="BR133" s="6">
        <f>IF(Character!$F$27=1,Character!$G$27,0)</f>
        <v>0</v>
      </c>
      <c r="BS133" s="6">
        <f>IF(Character!$F$27=1,Character!$G$27,0)</f>
        <v>0</v>
      </c>
      <c r="BT133" s="6">
        <f>IF(Character!$F$27=1,Character!$G$27,0)</f>
        <v>0</v>
      </c>
      <c r="BU133" s="6">
        <f>IF(Character!$F$27=1,Character!$G$27,0)</f>
        <v>0</v>
      </c>
      <c r="BV133" s="6">
        <f>IF(Character!$F$27=1,Character!$G$27,0)</f>
        <v>0</v>
      </c>
      <c r="BW133" s="6">
        <f>IF(Character!$F$27=1,Character!$G$27,0)</f>
        <v>0</v>
      </c>
      <c r="BX133" s="6">
        <f>IF(Character!$F$27=1,Character!$G$27,0)</f>
        <v>0</v>
      </c>
      <c r="BY133" s="6">
        <f>IF(Character!$F$27=1,Character!$G$27,0)</f>
        <v>0</v>
      </c>
      <c r="BZ133" s="6">
        <f>IF(Character!$F$27=1,Character!$G$27,0)</f>
        <v>0</v>
      </c>
      <c r="CA133" s="6">
        <f>IF(Character!$F$27=1,Character!$G$27,0)</f>
        <v>0</v>
      </c>
      <c r="CB133" s="6">
        <f>IF(Character!$F$27=1,Character!$G$27,0)</f>
        <v>0</v>
      </c>
      <c r="CC133" s="6">
        <f>IF(Character!$F$27=1,Character!$G$27,0)</f>
        <v>0</v>
      </c>
      <c r="CD133" s="6">
        <f>IF(Character!$F$27=1,Character!$G$27,0)</f>
        <v>0</v>
      </c>
      <c r="CE133" s="6">
        <f>IF(Character!$F$27=1,Character!$G$27,0)</f>
        <v>0</v>
      </c>
      <c r="CF133" s="6">
        <f>IF(Character!$F$27=1,Character!$G$27,0)</f>
        <v>0</v>
      </c>
      <c r="CG133" s="6">
        <f>IF(Character!$F$27=1,Character!$G$27,0)</f>
        <v>0</v>
      </c>
      <c r="CH133" s="6">
        <f>IF(Character!$F$27=1,Character!$G$27,0)</f>
        <v>0</v>
      </c>
      <c r="CI133" s="6">
        <f>IF(Character!$F$27=1,Character!$G$27,0)</f>
        <v>0</v>
      </c>
      <c r="CJ133" s="6">
        <f>IF(Character!$F$27=1,Character!$G$27,0)</f>
        <v>0</v>
      </c>
      <c r="CK133" s="6">
        <f>IF(Character!$F$27=1,Character!$G$27,0)</f>
        <v>0</v>
      </c>
      <c r="CL133" s="6">
        <f>IF(Character!$F$27=1,Character!$G$27,0)</f>
        <v>0</v>
      </c>
      <c r="CM133" s="6">
        <f>IF(Character!$F$27=1,Character!$G$27,0)</f>
        <v>0</v>
      </c>
      <c r="CN133" s="6">
        <f>IF(Character!$F$27=1,Character!$G$27,0)</f>
        <v>0</v>
      </c>
      <c r="CO133" s="6">
        <f>IF(Character!$F$27=1,Character!$G$27,0)</f>
        <v>0</v>
      </c>
      <c r="CP133" s="6">
        <f>IF(Character!$F$27=1,Character!$G$27,0)</f>
        <v>0</v>
      </c>
      <c r="CQ133" s="6">
        <f>IF(Character!$F$27=1,Character!$G$27,0)</f>
        <v>0</v>
      </c>
      <c r="CR133" s="6">
        <f>IF(Character!$F$27=1,Character!$G$27,0)</f>
        <v>0</v>
      </c>
      <c r="CS133" s="6">
        <f>IF(Character!$F$27=1,Character!$G$27,0)</f>
        <v>0</v>
      </c>
      <c r="CT133" s="6">
        <f>IF(Character!$F$27=1,Character!$G$27,0)</f>
        <v>0</v>
      </c>
      <c r="CU133" s="6">
        <f>IF(Character!$F$27=1,Character!$G$27,0)</f>
        <v>0</v>
      </c>
      <c r="CV133" s="6">
        <f>IF(Character!$F$27=1,Character!$G$27,0)</f>
        <v>0</v>
      </c>
      <c r="CW133" s="6">
        <f>IF(Character!$F$27=1,Character!$G$27,0)</f>
        <v>0</v>
      </c>
      <c r="CX133" s="6">
        <f>IF(Character!$F$27=1,Character!$G$27,0)</f>
        <v>0</v>
      </c>
      <c r="CY133" s="6">
        <f>IF(Character!$F$27=1,Character!$G$27,0)</f>
        <v>0</v>
      </c>
      <c r="CZ133" s="6">
        <f>IF(Character!$F$27=1,Character!$G$27,0)</f>
        <v>0</v>
      </c>
      <c r="DA133" s="6">
        <f>IF(Character!$F$27=1,Character!$G$27,0)</f>
        <v>0</v>
      </c>
      <c r="DB133" s="6">
        <f>IF(Character!$F$27=1,Character!$G$27,0)</f>
        <v>0</v>
      </c>
      <c r="DC133" s="6">
        <f>IF(Character!$F$27=1,Character!$G$27,0)</f>
        <v>0</v>
      </c>
      <c r="DD133" s="6">
        <f>IF(Character!$F$27=1,Character!$G$27,0)</f>
        <v>0</v>
      </c>
      <c r="DE133" s="6">
        <f>IF(Character!$F$27=1,Character!$G$27,0)</f>
        <v>0</v>
      </c>
      <c r="DF133" s="6">
        <f>IF(Character!$F$27=1,Character!$G$27,0)</f>
        <v>0</v>
      </c>
      <c r="DG133" s="6">
        <f>IF(Character!$F$27=1,Character!$G$27,0)</f>
        <v>0</v>
      </c>
      <c r="DH133" s="6">
        <f>IF(Character!$F$27=1,Character!$G$27,0)</f>
        <v>0</v>
      </c>
      <c r="DI133" s="6">
        <f>IF(Character!$F$27=1,Character!$G$27,0)</f>
        <v>0</v>
      </c>
      <c r="DJ133" s="6">
        <f>IF(Character!$F$27=1,Character!$G$27,0)</f>
        <v>0</v>
      </c>
      <c r="DK133" s="6">
        <f>IF(Character!$F$27=1,Character!$G$27,0)</f>
        <v>0</v>
      </c>
      <c r="DL133" s="6">
        <f>IF(Character!$F$27=1,Character!$G$27,0)</f>
        <v>0</v>
      </c>
      <c r="DM133" s="6">
        <f>IF(Character!$F$27=1,Character!$G$27,0)</f>
        <v>0</v>
      </c>
      <c r="DN133" s="6">
        <f>IF(Character!$F$27=1,Character!$G$27,0)</f>
        <v>0</v>
      </c>
    </row>
    <row r="134" spans="67:119" x14ac:dyDescent="0.25">
      <c r="BO134" s="6" t="s">
        <v>646</v>
      </c>
      <c r="BQ134" s="6">
        <f>IF(Character!$F$28=1,Character!$G$28,0)</f>
        <v>0</v>
      </c>
      <c r="BR134" s="6">
        <f>IF(Character!$F$28=1,Character!$G$28,0)</f>
        <v>0</v>
      </c>
      <c r="BS134" s="6">
        <f>IF(Character!$F$28=1,Character!$G$28,0)</f>
        <v>0</v>
      </c>
      <c r="BT134" s="6">
        <f>IF(Character!$F$28=1,Character!$G$28,0)</f>
        <v>0</v>
      </c>
      <c r="BU134" s="6">
        <f>IF(Character!$F$28=1,Character!$G$28,0)</f>
        <v>0</v>
      </c>
      <c r="BV134" s="6">
        <f>IF(Character!$F$28=1,Character!$G$28,0)</f>
        <v>0</v>
      </c>
      <c r="BW134" s="6">
        <f>IF(Character!$F$28=1,Character!$G$28,0)</f>
        <v>0</v>
      </c>
      <c r="BX134" s="6">
        <f>IF(Character!$F$28=1,Character!$G$28,0)</f>
        <v>0</v>
      </c>
      <c r="BY134" s="6">
        <f>IF(Character!$F$28=1,Character!$G$28,0)</f>
        <v>0</v>
      </c>
      <c r="BZ134" s="6">
        <f>IF(Character!$F$28=1,Character!$G$28,0)</f>
        <v>0</v>
      </c>
      <c r="CA134" s="6">
        <f>IF(Character!$F$28=1,Character!$G$28,0)</f>
        <v>0</v>
      </c>
      <c r="CB134" s="6">
        <f>IF(Character!$F$28=1,Character!$G$28,0)</f>
        <v>0</v>
      </c>
      <c r="CC134" s="6">
        <f>IF(Character!$F$28=1,Character!$G$28,0)</f>
        <v>0</v>
      </c>
      <c r="CD134" s="6">
        <f>IF(Character!$F$28=1,Character!$G$28,0)</f>
        <v>0</v>
      </c>
      <c r="CE134" s="6">
        <f>IF(Character!$F$28=1,Character!$G$28,0)</f>
        <v>0</v>
      </c>
      <c r="CF134" s="6">
        <f>IF(Character!$F$28=1,Character!$G$28,0)</f>
        <v>0</v>
      </c>
      <c r="CG134" s="6">
        <f>IF(Character!$F$28=1,Character!$G$28,0)</f>
        <v>0</v>
      </c>
      <c r="CH134" s="6">
        <f>IF(Character!$F$28=1,Character!$G$28,0)</f>
        <v>0</v>
      </c>
      <c r="CI134" s="6">
        <f>IF(Character!$F$28=1,Character!$G$28,0)</f>
        <v>0</v>
      </c>
      <c r="CJ134" s="6">
        <f>IF(Character!$F$28=1,Character!$G$28,0)</f>
        <v>0</v>
      </c>
      <c r="CK134" s="6">
        <f>IF(Character!$F$28=1,Character!$G$28,0)</f>
        <v>0</v>
      </c>
      <c r="CL134" s="6">
        <f>IF(Character!$F$28=1,Character!$G$28,0)</f>
        <v>0</v>
      </c>
      <c r="CM134" s="6">
        <f>IF(Character!$F$28=1,Character!$G$28,0)</f>
        <v>0</v>
      </c>
      <c r="CN134" s="6">
        <f>IF(Character!$F$28=1,Character!$G$28,0)</f>
        <v>0</v>
      </c>
      <c r="CO134" s="6">
        <f>IF(Character!$F$28=1,Character!$G$28,0)</f>
        <v>0</v>
      </c>
      <c r="CP134" s="6">
        <f>IF(Character!$F$28=1,Character!$G$28,0)</f>
        <v>0</v>
      </c>
      <c r="CQ134" s="6">
        <f>IF(Character!$F$28=1,Character!$G$28,0)</f>
        <v>0</v>
      </c>
      <c r="CR134" s="6">
        <f>IF(Character!$F$28=1,Character!$G$28,0)</f>
        <v>0</v>
      </c>
      <c r="CS134" s="6">
        <f>IF(Character!$F$28=1,Character!$G$28,0)</f>
        <v>0</v>
      </c>
      <c r="CT134" s="6">
        <f>IF(Character!$F$28=1,Character!$G$28,0)</f>
        <v>0</v>
      </c>
      <c r="CU134" s="6">
        <f>IF(Character!$F$28=1,Character!$G$28,0)</f>
        <v>0</v>
      </c>
      <c r="CV134" s="6">
        <f>IF(Character!$F$28=1,Character!$G$28,0)</f>
        <v>0</v>
      </c>
      <c r="CW134" s="6">
        <f>IF(Character!$F$28=1,Character!$G$28,0)</f>
        <v>0</v>
      </c>
      <c r="CX134" s="6">
        <f>IF(Character!$F$28=1,Character!$G$28,0)</f>
        <v>0</v>
      </c>
      <c r="CY134" s="6">
        <f>IF(Character!$F$28=1,Character!$G$28,0)</f>
        <v>0</v>
      </c>
      <c r="CZ134" s="6">
        <f>IF(Character!$F$28=1,Character!$G$28,0)</f>
        <v>0</v>
      </c>
      <c r="DA134" s="6">
        <f>IF(Character!$F$28=1,Character!$G$28,0)</f>
        <v>0</v>
      </c>
      <c r="DB134" s="6">
        <f>IF(Character!$F$28=1,Character!$G$28,0)</f>
        <v>0</v>
      </c>
      <c r="DC134" s="6">
        <f>IF(Character!$F$28=1,Character!$G$28,0)</f>
        <v>0</v>
      </c>
      <c r="DD134" s="6">
        <f>IF(Character!$F$28=1,Character!$G$28,0)</f>
        <v>0</v>
      </c>
      <c r="DE134" s="6">
        <f>IF(Character!$F$28=1,Character!$G$28,0)</f>
        <v>0</v>
      </c>
      <c r="DF134" s="6">
        <f>IF(Character!$F$28=1,Character!$G$28,0)</f>
        <v>0</v>
      </c>
      <c r="DG134" s="6">
        <f>IF(Character!$F$28=1,Character!$G$28,0)</f>
        <v>0</v>
      </c>
      <c r="DH134" s="6">
        <f>IF(Character!$F$28=1,Character!$G$28,0)</f>
        <v>0</v>
      </c>
      <c r="DI134" s="6">
        <f>IF(Character!$F$28=1,Character!$G$28,0)</f>
        <v>0</v>
      </c>
      <c r="DJ134" s="6">
        <f>IF(Character!$F$28=1,Character!$G$28,0)</f>
        <v>0</v>
      </c>
      <c r="DK134" s="6">
        <f>IF(Character!$F$28=1,Character!$G$28,0)</f>
        <v>0</v>
      </c>
      <c r="DL134" s="6">
        <f>IF(Character!$F$28=1,Character!$G$28,0)</f>
        <v>0</v>
      </c>
      <c r="DM134" s="6">
        <f>IF(Character!$F$28=1,Character!$G$28,0)</f>
        <v>0</v>
      </c>
      <c r="DN134" s="6">
        <f>IF(Character!$F$28=1,Character!$G$28,0)</f>
        <v>0</v>
      </c>
      <c r="DO134" s="6">
        <f>IF(Character!$F$28=1,Character!$G$28,0)</f>
        <v>0</v>
      </c>
    </row>
  </sheetData>
  <mergeCells count="2">
    <mergeCell ref="I2:L2"/>
    <mergeCell ref="N2:O2"/>
  </mergeCells>
  <pageMargins left="0.25" right="0.25" top="0.75" bottom="0.75" header="0.3" footer="0.3"/>
  <pageSetup scale="92" fitToHeight="0" orientation="portrait" r:id="rId1"/>
  <rowBreaks count="2" manualBreakCount="2">
    <brk id="47" min="2" max="19" man="1"/>
    <brk id="95" min="2" max="19" man="1"/>
  </rowBreaks>
  <ignoredErrors>
    <ignoredError sqref="BQ3:CI3" formulaRange="1"/>
    <ignoredError sqref="G66 G71 G107 G101 G113 G81"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12"/>
  <sheetViews>
    <sheetView showGridLines="0" workbookViewId="0">
      <pane xSplit="4" ySplit="2" topLeftCell="S3" activePane="bottomRight" state="frozen"/>
      <selection pane="topRight" activeCell="E1" sqref="E1"/>
      <selection pane="bottomLeft" activeCell="A3" sqref="A3"/>
      <selection pane="bottomRight" activeCell="AI13" sqref="AI13"/>
    </sheetView>
  </sheetViews>
  <sheetFormatPr defaultRowHeight="15" x14ac:dyDescent="0.25"/>
  <cols>
    <col min="1" max="1" width="3.7109375" customWidth="1"/>
    <col min="3" max="3" width="20.5703125" bestFit="1" customWidth="1"/>
    <col min="4" max="4" width="10.7109375" bestFit="1" customWidth="1"/>
    <col min="5" max="27" width="6.7109375" customWidth="1"/>
    <col min="29" max="29" width="21.140625" customWidth="1"/>
    <col min="30" max="30" width="20.140625" customWidth="1"/>
    <col min="31" max="32" width="3.42578125" customWidth="1"/>
    <col min="33" max="33" width="37" customWidth="1"/>
    <col min="34" max="34" width="12.85546875" customWidth="1"/>
    <col min="35" max="35" width="11.85546875" customWidth="1"/>
    <col min="36" max="50" width="3.42578125" customWidth="1"/>
  </cols>
  <sheetData>
    <row r="1" spans="2:50" ht="15.75" thickBot="1" x14ac:dyDescent="0.3"/>
    <row r="2" spans="2:50" ht="72" thickBot="1" x14ac:dyDescent="0.3">
      <c r="B2" s="21"/>
      <c r="C2" s="22" t="s">
        <v>60</v>
      </c>
      <c r="D2" s="137" t="s">
        <v>55</v>
      </c>
      <c r="E2" s="23" t="s">
        <v>115</v>
      </c>
      <c r="F2" s="23" t="s">
        <v>116</v>
      </c>
      <c r="G2" s="23" t="s">
        <v>117</v>
      </c>
      <c r="H2" s="23" t="s">
        <v>118</v>
      </c>
      <c r="I2" s="23" t="s">
        <v>119</v>
      </c>
      <c r="J2" s="23" t="s">
        <v>120</v>
      </c>
      <c r="K2" s="23" t="s">
        <v>121</v>
      </c>
      <c r="L2" s="23" t="s">
        <v>122</v>
      </c>
      <c r="M2" s="23" t="s">
        <v>123</v>
      </c>
      <c r="N2" s="23" t="s">
        <v>124</v>
      </c>
      <c r="O2" s="23" t="s">
        <v>125</v>
      </c>
      <c r="P2" s="23" t="s">
        <v>126</v>
      </c>
      <c r="Q2" s="23" t="s">
        <v>127</v>
      </c>
      <c r="R2" s="23" t="s">
        <v>128</v>
      </c>
      <c r="S2" s="23" t="s">
        <v>129</v>
      </c>
      <c r="T2" s="23" t="s">
        <v>130</v>
      </c>
      <c r="U2" s="23" t="s">
        <v>131</v>
      </c>
      <c r="V2" s="23" t="s">
        <v>36</v>
      </c>
      <c r="W2" s="23" t="s">
        <v>132</v>
      </c>
      <c r="X2" s="23" t="s">
        <v>133</v>
      </c>
      <c r="Y2" s="23" t="s">
        <v>134</v>
      </c>
      <c r="Z2" s="24" t="s">
        <v>135</v>
      </c>
      <c r="AA2" s="24" t="s">
        <v>248</v>
      </c>
      <c r="AD2" s="184"/>
      <c r="AE2" s="185"/>
      <c r="AF2" s="185"/>
      <c r="AG2" s="185"/>
      <c r="AH2" s="185"/>
      <c r="AI2" s="185"/>
      <c r="AJ2" s="185"/>
      <c r="AK2" s="185"/>
      <c r="AL2" s="185"/>
      <c r="AM2" s="185"/>
      <c r="AN2" s="185"/>
      <c r="AO2" s="185"/>
      <c r="AP2" s="185"/>
      <c r="AQ2" s="185"/>
      <c r="AR2" s="185"/>
      <c r="AS2" s="185"/>
      <c r="AT2" s="185"/>
      <c r="AU2" s="185"/>
      <c r="AV2" s="185"/>
      <c r="AW2" s="185"/>
      <c r="AX2" s="185"/>
    </row>
    <row r="3" spans="2:50" x14ac:dyDescent="0.25">
      <c r="B3" s="145" t="s">
        <v>62</v>
      </c>
      <c r="C3" s="7"/>
      <c r="D3" s="138"/>
      <c r="E3" s="19"/>
      <c r="F3" s="19"/>
      <c r="G3" s="19"/>
      <c r="H3" s="19"/>
      <c r="I3" s="19"/>
      <c r="J3" s="19"/>
      <c r="K3" s="19"/>
      <c r="L3" s="19"/>
      <c r="M3" s="19"/>
      <c r="N3" s="19"/>
      <c r="O3" s="19"/>
      <c r="P3" s="19"/>
      <c r="Q3" s="19"/>
      <c r="R3" s="19"/>
      <c r="S3" s="19"/>
      <c r="T3" s="19"/>
      <c r="U3" s="19"/>
      <c r="V3" s="19"/>
      <c r="W3" s="19"/>
      <c r="X3" s="19"/>
      <c r="Y3" s="19"/>
      <c r="Z3" s="20"/>
      <c r="AA3" s="214"/>
      <c r="AB3" s="211" t="s">
        <v>62</v>
      </c>
      <c r="AC3" s="212"/>
      <c r="AD3" s="108"/>
      <c r="AE3" s="186"/>
      <c r="AF3" s="186"/>
      <c r="AG3" s="186"/>
      <c r="AH3" s="186"/>
      <c r="AI3" s="186"/>
      <c r="AJ3" s="186"/>
      <c r="AK3" s="186"/>
      <c r="AL3" s="186"/>
      <c r="AM3" s="186"/>
      <c r="AN3" s="186"/>
      <c r="AO3" s="186"/>
      <c r="AP3" s="186"/>
      <c r="AQ3" s="186"/>
      <c r="AR3" s="186"/>
      <c r="AS3" s="186"/>
      <c r="AT3" s="186"/>
      <c r="AU3" s="186"/>
      <c r="AV3" s="186"/>
      <c r="AW3" s="186"/>
      <c r="AX3" s="186"/>
    </row>
    <row r="4" spans="2:50" x14ac:dyDescent="0.25">
      <c r="B4" s="145"/>
      <c r="C4" s="9" t="s">
        <v>68</v>
      </c>
      <c r="D4" s="8" t="s">
        <v>136</v>
      </c>
      <c r="E4" s="8" t="s">
        <v>137</v>
      </c>
      <c r="F4" s="8" t="s">
        <v>138</v>
      </c>
      <c r="G4" s="8" t="s">
        <v>139</v>
      </c>
      <c r="H4" s="8" t="s">
        <v>139</v>
      </c>
      <c r="I4" s="8" t="s">
        <v>139</v>
      </c>
      <c r="J4" s="8" t="s">
        <v>138</v>
      </c>
      <c r="K4" s="8" t="s">
        <v>140</v>
      </c>
      <c r="L4" s="8" t="s">
        <v>138</v>
      </c>
      <c r="M4" s="8" t="s">
        <v>139</v>
      </c>
      <c r="N4" s="8" t="s">
        <v>139</v>
      </c>
      <c r="O4" s="8" t="s">
        <v>139</v>
      </c>
      <c r="P4" s="8" t="s">
        <v>141</v>
      </c>
      <c r="Q4" s="8" t="s">
        <v>139</v>
      </c>
      <c r="R4" s="8" t="s">
        <v>142</v>
      </c>
      <c r="S4" s="8" t="s">
        <v>137</v>
      </c>
      <c r="T4" s="8" t="s">
        <v>140</v>
      </c>
      <c r="U4" s="8" t="s">
        <v>142</v>
      </c>
      <c r="V4" s="8" t="s">
        <v>142</v>
      </c>
      <c r="W4" s="8" t="s">
        <v>142</v>
      </c>
      <c r="X4" s="8" t="s">
        <v>137</v>
      </c>
      <c r="Y4" s="8" t="s">
        <v>137</v>
      </c>
      <c r="Z4" s="135" t="s">
        <v>140</v>
      </c>
      <c r="AA4" s="215"/>
      <c r="AB4" s="7"/>
      <c r="AC4" s="57" t="s">
        <v>68</v>
      </c>
      <c r="AD4" s="108"/>
      <c r="AE4" s="186"/>
      <c r="AF4" s="186"/>
      <c r="AG4" s="186"/>
      <c r="AH4" s="186"/>
      <c r="AI4" s="186"/>
      <c r="AJ4" s="186"/>
      <c r="AK4" s="186"/>
      <c r="AL4" s="186"/>
      <c r="AM4" s="186"/>
      <c r="AN4" s="186"/>
      <c r="AO4" s="186"/>
      <c r="AP4" s="186"/>
      <c r="AQ4" s="186"/>
      <c r="AR4" s="186"/>
      <c r="AS4" s="186"/>
      <c r="AT4" s="186"/>
      <c r="AU4" s="186"/>
      <c r="AV4" s="186"/>
      <c r="AW4" s="186"/>
      <c r="AX4" s="186"/>
    </row>
    <row r="5" spans="2:50" x14ac:dyDescent="0.25">
      <c r="B5" s="145"/>
      <c r="C5" s="9" t="s">
        <v>69</v>
      </c>
      <c r="D5" s="8" t="s">
        <v>136</v>
      </c>
      <c r="E5" s="8" t="s">
        <v>137</v>
      </c>
      <c r="F5" s="8" t="s">
        <v>138</v>
      </c>
      <c r="G5" s="8" t="s">
        <v>139</v>
      </c>
      <c r="H5" s="8" t="s">
        <v>139</v>
      </c>
      <c r="I5" s="8" t="s">
        <v>139</v>
      </c>
      <c r="J5" s="8" t="s">
        <v>139</v>
      </c>
      <c r="K5" s="8" t="s">
        <v>140</v>
      </c>
      <c r="L5" s="8" t="s">
        <v>138</v>
      </c>
      <c r="M5" s="8" t="s">
        <v>139</v>
      </c>
      <c r="N5" s="8" t="s">
        <v>137</v>
      </c>
      <c r="O5" s="8" t="s">
        <v>139</v>
      </c>
      <c r="P5" s="8" t="s">
        <v>141</v>
      </c>
      <c r="Q5" s="8" t="s">
        <v>139</v>
      </c>
      <c r="R5" s="8" t="s">
        <v>141</v>
      </c>
      <c r="S5" s="8" t="s">
        <v>142</v>
      </c>
      <c r="T5" s="8" t="s">
        <v>140</v>
      </c>
      <c r="U5" s="8" t="s">
        <v>142</v>
      </c>
      <c r="V5" s="8" t="s">
        <v>142</v>
      </c>
      <c r="W5" s="8" t="s">
        <v>142</v>
      </c>
      <c r="X5" s="8" t="s">
        <v>137</v>
      </c>
      <c r="Y5" s="8" t="s">
        <v>137</v>
      </c>
      <c r="Z5" s="135" t="s">
        <v>140</v>
      </c>
      <c r="AA5" s="215"/>
      <c r="AB5" s="7"/>
      <c r="AC5" s="57" t="s">
        <v>69</v>
      </c>
      <c r="AD5" s="108"/>
      <c r="AE5" s="186"/>
      <c r="AF5" s="186"/>
      <c r="AG5" s="186"/>
      <c r="AH5" s="186"/>
      <c r="AI5" s="186"/>
      <c r="AJ5" s="186"/>
      <c r="AK5" s="186"/>
      <c r="AL5" s="186"/>
      <c r="AM5" s="186"/>
      <c r="AN5" s="186"/>
      <c r="AO5" s="186"/>
      <c r="AP5" s="186"/>
      <c r="AQ5" s="186"/>
      <c r="AR5" s="186"/>
      <c r="AS5" s="186"/>
      <c r="AT5" s="186"/>
      <c r="AU5" s="186"/>
      <c r="AV5" s="186"/>
      <c r="AW5" s="186"/>
      <c r="AX5" s="186"/>
    </row>
    <row r="6" spans="2:50" x14ac:dyDescent="0.25">
      <c r="B6" s="145"/>
      <c r="C6" s="9" t="s">
        <v>70</v>
      </c>
      <c r="D6" s="8" t="s">
        <v>143</v>
      </c>
      <c r="E6" s="8" t="s">
        <v>138</v>
      </c>
      <c r="F6" s="8" t="s">
        <v>144</v>
      </c>
      <c r="G6" s="8" t="s">
        <v>145</v>
      </c>
      <c r="H6" s="8" t="s">
        <v>145</v>
      </c>
      <c r="I6" s="8" t="s">
        <v>144</v>
      </c>
      <c r="J6" s="8" t="s">
        <v>144</v>
      </c>
      <c r="K6" s="8" t="s">
        <v>142</v>
      </c>
      <c r="L6" s="8" t="s">
        <v>144</v>
      </c>
      <c r="M6" s="8" t="s">
        <v>144</v>
      </c>
      <c r="N6" s="8" t="s">
        <v>145</v>
      </c>
      <c r="O6" s="8" t="s">
        <v>145</v>
      </c>
      <c r="P6" s="8" t="s">
        <v>137</v>
      </c>
      <c r="Q6" s="8" t="s">
        <v>145</v>
      </c>
      <c r="R6" s="8" t="s">
        <v>139</v>
      </c>
      <c r="S6" s="8" t="s">
        <v>138</v>
      </c>
      <c r="T6" s="8" t="s">
        <v>141</v>
      </c>
      <c r="U6" s="8" t="s">
        <v>139</v>
      </c>
      <c r="V6" s="8" t="s">
        <v>139</v>
      </c>
      <c r="W6" s="8" t="s">
        <v>137</v>
      </c>
      <c r="X6" s="8" t="s">
        <v>139</v>
      </c>
      <c r="Y6" s="8" t="s">
        <v>138</v>
      </c>
      <c r="Z6" s="135" t="s">
        <v>142</v>
      </c>
      <c r="AA6" s="215"/>
      <c r="AB6" s="7"/>
      <c r="AC6" s="57" t="s">
        <v>70</v>
      </c>
      <c r="AD6" s="108"/>
      <c r="AE6" s="186"/>
      <c r="AF6" s="186"/>
      <c r="AG6" s="186"/>
      <c r="AH6" s="186"/>
      <c r="AI6" s="186"/>
      <c r="AJ6" s="186"/>
      <c r="AK6" s="186"/>
      <c r="AL6" s="186"/>
      <c r="AM6" s="186"/>
      <c r="AN6" s="186"/>
      <c r="AO6" s="186"/>
      <c r="AP6" s="186"/>
      <c r="AQ6" s="186"/>
      <c r="AR6" s="186"/>
      <c r="AS6" s="186"/>
      <c r="AT6" s="186"/>
      <c r="AU6" s="186"/>
      <c r="AV6" s="186"/>
      <c r="AW6" s="186"/>
      <c r="AX6" s="186"/>
    </row>
    <row r="7" spans="2:50" x14ac:dyDescent="0.25">
      <c r="B7" s="145" t="s">
        <v>63</v>
      </c>
      <c r="C7" s="9"/>
      <c r="D7" s="8"/>
      <c r="E7" s="8"/>
      <c r="F7" s="8"/>
      <c r="G7" s="8"/>
      <c r="H7" s="8"/>
      <c r="I7" s="8"/>
      <c r="J7" s="8"/>
      <c r="K7" s="8"/>
      <c r="L7" s="8"/>
      <c r="M7" s="8"/>
      <c r="N7" s="8"/>
      <c r="O7" s="8"/>
      <c r="P7" s="8"/>
      <c r="Q7" s="8"/>
      <c r="R7" s="8"/>
      <c r="S7" s="8"/>
      <c r="T7" s="8"/>
      <c r="U7" s="8"/>
      <c r="V7" s="8"/>
      <c r="W7" s="8"/>
      <c r="X7" s="8"/>
      <c r="Y7" s="8"/>
      <c r="Z7" s="135"/>
      <c r="AA7" s="215"/>
      <c r="AB7" s="7" t="s">
        <v>63</v>
      </c>
      <c r="AC7" s="57"/>
      <c r="AD7" s="108"/>
      <c r="AE7" s="186"/>
      <c r="AF7" s="186"/>
      <c r="AG7" s="186"/>
      <c r="AH7" s="186"/>
      <c r="AI7" s="186"/>
      <c r="AJ7" s="186"/>
      <c r="AK7" s="186"/>
      <c r="AL7" s="186"/>
      <c r="AM7" s="186"/>
      <c r="AN7" s="186"/>
      <c r="AO7" s="186"/>
      <c r="AP7" s="186"/>
      <c r="AQ7" s="186"/>
      <c r="AR7" s="186"/>
      <c r="AS7" s="186"/>
      <c r="AT7" s="186"/>
      <c r="AU7" s="186"/>
      <c r="AV7" s="186"/>
      <c r="AW7" s="186"/>
      <c r="AX7" s="186"/>
    </row>
    <row r="8" spans="2:50" x14ac:dyDescent="0.25">
      <c r="B8" s="145"/>
      <c r="C8" s="9" t="s">
        <v>71</v>
      </c>
      <c r="D8" s="8" t="s">
        <v>43</v>
      </c>
      <c r="E8" s="8" t="s">
        <v>145</v>
      </c>
      <c r="F8" s="8" t="s">
        <v>141</v>
      </c>
      <c r="G8" s="8" t="s">
        <v>137</v>
      </c>
      <c r="H8" s="8" t="s">
        <v>138</v>
      </c>
      <c r="I8" s="8" t="s">
        <v>137</v>
      </c>
      <c r="J8" s="8" t="s">
        <v>142</v>
      </c>
      <c r="K8" s="8" t="s">
        <v>146</v>
      </c>
      <c r="L8" s="8" t="s">
        <v>145</v>
      </c>
      <c r="M8" s="8" t="s">
        <v>137</v>
      </c>
      <c r="N8" s="8" t="s">
        <v>145</v>
      </c>
      <c r="O8" s="8" t="s">
        <v>145</v>
      </c>
      <c r="P8" s="8" t="s">
        <v>144</v>
      </c>
      <c r="Q8" s="8" t="s">
        <v>146</v>
      </c>
      <c r="R8" s="8" t="s">
        <v>146</v>
      </c>
      <c r="S8" s="8" t="s">
        <v>146</v>
      </c>
      <c r="T8" s="8" t="s">
        <v>146</v>
      </c>
      <c r="U8" s="8" t="s">
        <v>147</v>
      </c>
      <c r="V8" s="8" t="s">
        <v>146</v>
      </c>
      <c r="W8" s="8" t="s">
        <v>146</v>
      </c>
      <c r="X8" s="8" t="s">
        <v>140</v>
      </c>
      <c r="Y8" s="8" t="s">
        <v>146</v>
      </c>
      <c r="Z8" s="135" t="s">
        <v>147</v>
      </c>
      <c r="AA8" s="215"/>
      <c r="AB8" s="7"/>
      <c r="AC8" s="57" t="s">
        <v>71</v>
      </c>
      <c r="AD8" s="108"/>
      <c r="AE8" s="186"/>
      <c r="AF8" s="186"/>
      <c r="AG8" s="186"/>
      <c r="AH8" s="186"/>
      <c r="AI8" s="186"/>
      <c r="AJ8" s="186"/>
      <c r="AK8" s="186"/>
      <c r="AL8" s="186"/>
      <c r="AM8" s="186"/>
      <c r="AN8" s="186"/>
      <c r="AO8" s="186"/>
      <c r="AP8" s="186"/>
      <c r="AQ8" s="186"/>
      <c r="AR8" s="186"/>
      <c r="AS8" s="186"/>
      <c r="AT8" s="186"/>
      <c r="AU8" s="186"/>
      <c r="AV8" s="186"/>
      <c r="AW8" s="186"/>
      <c r="AX8" s="186"/>
    </row>
    <row r="9" spans="2:50" x14ac:dyDescent="0.25">
      <c r="B9" s="145"/>
      <c r="C9" s="9" t="s">
        <v>72</v>
      </c>
      <c r="D9" s="8" t="s">
        <v>148</v>
      </c>
      <c r="E9" s="8" t="s">
        <v>138</v>
      </c>
      <c r="F9" s="8" t="s">
        <v>137</v>
      </c>
      <c r="G9" s="8" t="s">
        <v>142</v>
      </c>
      <c r="H9" s="8" t="s">
        <v>142</v>
      </c>
      <c r="I9" s="8" t="s">
        <v>137</v>
      </c>
      <c r="J9" s="8" t="s">
        <v>142</v>
      </c>
      <c r="K9" s="8" t="s">
        <v>144</v>
      </c>
      <c r="L9" s="8" t="s">
        <v>138</v>
      </c>
      <c r="M9" s="8" t="s">
        <v>139</v>
      </c>
      <c r="N9" s="8" t="s">
        <v>137</v>
      </c>
      <c r="O9" s="8" t="s">
        <v>139</v>
      </c>
      <c r="P9" s="8" t="s">
        <v>145</v>
      </c>
      <c r="Q9" s="8" t="s">
        <v>145</v>
      </c>
      <c r="R9" s="8" t="s">
        <v>144</v>
      </c>
      <c r="S9" s="8" t="s">
        <v>144</v>
      </c>
      <c r="T9" s="8" t="s">
        <v>144</v>
      </c>
      <c r="U9" s="8" t="s">
        <v>146</v>
      </c>
      <c r="V9" s="8" t="s">
        <v>144</v>
      </c>
      <c r="W9" s="8" t="s">
        <v>144</v>
      </c>
      <c r="X9" s="8" t="s">
        <v>145</v>
      </c>
      <c r="Y9" s="8" t="s">
        <v>145</v>
      </c>
      <c r="Z9" s="135" t="s">
        <v>146</v>
      </c>
      <c r="AA9" s="215"/>
      <c r="AB9" s="7"/>
      <c r="AC9" s="57" t="s">
        <v>72</v>
      </c>
      <c r="AD9" s="108"/>
      <c r="AE9" s="186"/>
      <c r="AF9" s="186"/>
      <c r="AG9" s="186"/>
      <c r="AH9" s="186"/>
      <c r="AI9" s="186"/>
      <c r="AJ9" s="186"/>
      <c r="AK9" s="186"/>
      <c r="AL9" s="186"/>
      <c r="AM9" s="186"/>
      <c r="AN9" s="186"/>
      <c r="AO9" s="186"/>
      <c r="AP9" s="186"/>
      <c r="AQ9" s="186"/>
      <c r="AR9" s="186"/>
      <c r="AS9" s="186"/>
      <c r="AT9" s="186"/>
      <c r="AU9" s="186"/>
      <c r="AV9" s="186"/>
      <c r="AW9" s="186"/>
      <c r="AX9" s="186"/>
    </row>
    <row r="10" spans="2:50" x14ac:dyDescent="0.25">
      <c r="B10" s="145"/>
      <c r="C10" s="9" t="s">
        <v>27</v>
      </c>
      <c r="D10" s="8" t="s">
        <v>418</v>
      </c>
      <c r="E10" s="8" t="s">
        <v>137</v>
      </c>
      <c r="F10" s="8" t="s">
        <v>141</v>
      </c>
      <c r="G10" s="8" t="s">
        <v>140</v>
      </c>
      <c r="H10" s="8" t="s">
        <v>141</v>
      </c>
      <c r="I10" s="8" t="s">
        <v>141</v>
      </c>
      <c r="J10" s="8" t="s">
        <v>140</v>
      </c>
      <c r="K10" s="8" t="s">
        <v>138</v>
      </c>
      <c r="L10" s="8" t="s">
        <v>141</v>
      </c>
      <c r="M10" s="8" t="s">
        <v>142</v>
      </c>
      <c r="N10" s="8" t="s">
        <v>141</v>
      </c>
      <c r="O10" s="8" t="s">
        <v>142</v>
      </c>
      <c r="P10" s="8" t="s">
        <v>139</v>
      </c>
      <c r="Q10" s="8" t="s">
        <v>139</v>
      </c>
      <c r="R10" s="8" t="s">
        <v>138</v>
      </c>
      <c r="S10" s="8" t="s">
        <v>138</v>
      </c>
      <c r="T10" s="8" t="s">
        <v>138</v>
      </c>
      <c r="U10" s="8" t="s">
        <v>145</v>
      </c>
      <c r="V10" s="8" t="s">
        <v>138</v>
      </c>
      <c r="W10" s="8" t="s">
        <v>138</v>
      </c>
      <c r="X10" s="8" t="s">
        <v>139</v>
      </c>
      <c r="Y10" s="8" t="s">
        <v>139</v>
      </c>
      <c r="Z10" s="135" t="s">
        <v>145</v>
      </c>
      <c r="AA10" s="215"/>
      <c r="AB10" s="7"/>
      <c r="AC10" s="57" t="s">
        <v>27</v>
      </c>
      <c r="AD10" s="108"/>
      <c r="AE10" s="186"/>
      <c r="AF10" s="186"/>
      <c r="AG10" s="186"/>
      <c r="AH10" s="186"/>
      <c r="AI10" s="186"/>
      <c r="AJ10" s="186"/>
      <c r="AK10" s="186"/>
      <c r="AL10" s="186"/>
      <c r="AM10" s="186"/>
      <c r="AN10" s="186"/>
      <c r="AO10" s="186"/>
      <c r="AP10" s="186"/>
      <c r="AQ10" s="186"/>
      <c r="AR10" s="186"/>
      <c r="AS10" s="186"/>
      <c r="AT10" s="186"/>
      <c r="AU10" s="186"/>
      <c r="AV10" s="186"/>
      <c r="AW10" s="186"/>
      <c r="AX10" s="186"/>
    </row>
    <row r="11" spans="2:50" ht="15.75" thickBot="1" x14ac:dyDescent="0.3">
      <c r="B11" s="145" t="s">
        <v>53</v>
      </c>
      <c r="C11" s="9"/>
      <c r="D11" s="8"/>
      <c r="E11" s="8"/>
      <c r="F11" s="8"/>
      <c r="G11" s="8"/>
      <c r="H11" s="8"/>
      <c r="I11" s="8"/>
      <c r="J11" s="8"/>
      <c r="K11" s="8"/>
      <c r="L11" s="8"/>
      <c r="M11" s="8"/>
      <c r="N11" s="8"/>
      <c r="O11" s="8"/>
      <c r="P11" s="8"/>
      <c r="Q11" s="8"/>
      <c r="R11" s="8"/>
      <c r="S11" s="8"/>
      <c r="T11" s="8"/>
      <c r="U11" s="8"/>
      <c r="V11" s="8"/>
      <c r="W11" s="8"/>
      <c r="X11" s="8"/>
      <c r="Y11" s="8"/>
      <c r="Z11" s="135"/>
      <c r="AA11" s="215"/>
      <c r="AB11" s="7" t="s">
        <v>53</v>
      </c>
      <c r="AC11" s="57"/>
      <c r="AD11" s="108"/>
      <c r="AE11" s="186"/>
      <c r="AF11" s="186"/>
      <c r="AG11" s="186"/>
      <c r="AH11" s="186"/>
      <c r="AI11" s="186"/>
      <c r="AJ11" s="186"/>
      <c r="AK11" s="186"/>
      <c r="AL11" s="186"/>
      <c r="AM11" s="186"/>
      <c r="AN11" s="186"/>
      <c r="AO11" s="186"/>
      <c r="AP11" s="186"/>
      <c r="AQ11" s="186"/>
      <c r="AR11" s="186"/>
      <c r="AS11" s="186"/>
      <c r="AT11" s="186"/>
      <c r="AU11" s="186"/>
      <c r="AV11" s="186"/>
      <c r="AW11" s="186"/>
      <c r="AX11" s="186"/>
    </row>
    <row r="12" spans="2:50" ht="30" x14ac:dyDescent="0.25">
      <c r="B12" s="145"/>
      <c r="C12" s="9" t="s">
        <v>73</v>
      </c>
      <c r="D12" s="8" t="s">
        <v>149</v>
      </c>
      <c r="E12" s="8" t="s">
        <v>138</v>
      </c>
      <c r="F12" s="8" t="s">
        <v>140</v>
      </c>
      <c r="G12" s="8" t="s">
        <v>140</v>
      </c>
      <c r="H12" s="8" t="s">
        <v>139</v>
      </c>
      <c r="I12" s="8" t="s">
        <v>142</v>
      </c>
      <c r="J12" s="8" t="s">
        <v>138</v>
      </c>
      <c r="K12" s="8" t="s">
        <v>144</v>
      </c>
      <c r="L12" s="8" t="s">
        <v>139</v>
      </c>
      <c r="M12" s="8" t="s">
        <v>142</v>
      </c>
      <c r="N12" s="8" t="s">
        <v>137</v>
      </c>
      <c r="O12" s="8" t="s">
        <v>139</v>
      </c>
      <c r="P12" s="8" t="s">
        <v>138</v>
      </c>
      <c r="Q12" s="8" t="s">
        <v>138</v>
      </c>
      <c r="R12" s="8" t="s">
        <v>146</v>
      </c>
      <c r="S12" s="8" t="s">
        <v>147</v>
      </c>
      <c r="T12" s="8" t="s">
        <v>146</v>
      </c>
      <c r="U12" s="8" t="s">
        <v>147</v>
      </c>
      <c r="V12" s="8" t="s">
        <v>146</v>
      </c>
      <c r="W12" s="8" t="s">
        <v>147</v>
      </c>
      <c r="X12" s="8" t="s">
        <v>147</v>
      </c>
      <c r="Y12" s="8" t="s">
        <v>146</v>
      </c>
      <c r="Z12" s="135" t="s">
        <v>147</v>
      </c>
      <c r="AA12" s="215"/>
      <c r="AB12" s="7"/>
      <c r="AC12" s="57" t="s">
        <v>73</v>
      </c>
      <c r="AD12" s="108"/>
      <c r="AE12" s="186"/>
      <c r="AF12" s="186"/>
      <c r="AG12" s="336" t="s">
        <v>698</v>
      </c>
      <c r="AH12" s="340" t="s">
        <v>699</v>
      </c>
      <c r="AI12" s="338" t="s">
        <v>700</v>
      </c>
      <c r="AJ12" s="186"/>
      <c r="AK12" s="186"/>
      <c r="AL12" s="186"/>
      <c r="AM12" s="186"/>
      <c r="AN12" s="186"/>
      <c r="AO12" s="186"/>
      <c r="AP12" s="186"/>
      <c r="AQ12" s="186"/>
      <c r="AR12" s="186"/>
      <c r="AS12" s="186"/>
      <c r="AT12" s="186"/>
      <c r="AU12" s="186"/>
      <c r="AV12" s="186"/>
      <c r="AW12" s="186"/>
      <c r="AX12" s="186"/>
    </row>
    <row r="13" spans="2:50" ht="15.75" thickBot="1" x14ac:dyDescent="0.3">
      <c r="B13" s="145"/>
      <c r="C13" s="9" t="s">
        <v>74</v>
      </c>
      <c r="D13" s="8" t="s">
        <v>150</v>
      </c>
      <c r="E13" s="8" t="s">
        <v>139</v>
      </c>
      <c r="F13" s="8" t="s">
        <v>140</v>
      </c>
      <c r="G13" s="8" t="s">
        <v>140</v>
      </c>
      <c r="H13" s="8" t="s">
        <v>139</v>
      </c>
      <c r="I13" s="8" t="s">
        <v>141</v>
      </c>
      <c r="J13" s="8" t="s">
        <v>139</v>
      </c>
      <c r="K13" s="8" t="s">
        <v>145</v>
      </c>
      <c r="L13" s="8" t="s">
        <v>137</v>
      </c>
      <c r="M13" s="8" t="s">
        <v>141</v>
      </c>
      <c r="N13" s="8" t="s">
        <v>142</v>
      </c>
      <c r="O13" s="8" t="s">
        <v>137</v>
      </c>
      <c r="P13" s="8" t="s">
        <v>139</v>
      </c>
      <c r="Q13" s="8" t="s">
        <v>139</v>
      </c>
      <c r="R13" s="8" t="s">
        <v>145</v>
      </c>
      <c r="S13" s="8" t="s">
        <v>146</v>
      </c>
      <c r="T13" s="8" t="s">
        <v>144</v>
      </c>
      <c r="U13" s="8" t="s">
        <v>146</v>
      </c>
      <c r="V13" s="8" t="s">
        <v>144</v>
      </c>
      <c r="W13" s="8" t="s">
        <v>146</v>
      </c>
      <c r="X13" s="8" t="s">
        <v>146</v>
      </c>
      <c r="Y13" s="8" t="s">
        <v>144</v>
      </c>
      <c r="Z13" s="135" t="s">
        <v>146</v>
      </c>
      <c r="AA13" s="215"/>
      <c r="AB13" s="7"/>
      <c r="AC13" s="57" t="s">
        <v>74</v>
      </c>
      <c r="AD13" s="108"/>
      <c r="AE13" s="186"/>
      <c r="AF13" s="186"/>
      <c r="AG13" s="332" t="s">
        <v>37</v>
      </c>
      <c r="AH13" s="339">
        <f>In</f>
        <v>0</v>
      </c>
      <c r="AI13" s="335">
        <f>IF(Realm=AG13,AH13,IF(Realm=AG14,AH14,IF(Realm=AG15,AH15,IF(Realm=AG16,AH16,IF(Realm=AG17,AH17,IF(Realm=AG18,AH18,IF(Realm=AG19,AH19,0)))))))</f>
        <v>8</v>
      </c>
      <c r="AJ13" s="186"/>
      <c r="AK13" s="186"/>
      <c r="AL13" s="186"/>
      <c r="AM13" s="186"/>
      <c r="AN13" s="186"/>
      <c r="AO13" s="186"/>
      <c r="AP13" s="186"/>
      <c r="AQ13" s="186"/>
      <c r="AR13" s="186"/>
      <c r="AS13" s="186"/>
      <c r="AT13" s="186"/>
      <c r="AU13" s="186"/>
      <c r="AV13" s="186"/>
      <c r="AW13" s="186"/>
      <c r="AX13" s="186"/>
    </row>
    <row r="14" spans="2:50" x14ac:dyDescent="0.25">
      <c r="B14" s="145"/>
      <c r="C14" s="9" t="s">
        <v>75</v>
      </c>
      <c r="D14" s="8" t="s">
        <v>151</v>
      </c>
      <c r="E14" s="8" t="s">
        <v>138</v>
      </c>
      <c r="F14" s="8" t="s">
        <v>140</v>
      </c>
      <c r="G14" s="8" t="s">
        <v>140</v>
      </c>
      <c r="H14" s="8" t="s">
        <v>139</v>
      </c>
      <c r="I14" s="8" t="s">
        <v>142</v>
      </c>
      <c r="J14" s="8" t="s">
        <v>139</v>
      </c>
      <c r="K14" s="8" t="s">
        <v>144</v>
      </c>
      <c r="L14" s="8" t="s">
        <v>139</v>
      </c>
      <c r="M14" s="8" t="s">
        <v>137</v>
      </c>
      <c r="N14" s="8" t="s">
        <v>137</v>
      </c>
      <c r="O14" s="8" t="s">
        <v>139</v>
      </c>
      <c r="P14" s="8" t="s">
        <v>138</v>
      </c>
      <c r="Q14" s="8" t="s">
        <v>138</v>
      </c>
      <c r="R14" s="8" t="s">
        <v>144</v>
      </c>
      <c r="S14" s="8" t="s">
        <v>146</v>
      </c>
      <c r="T14" s="8" t="s">
        <v>145</v>
      </c>
      <c r="U14" s="8" t="s">
        <v>146</v>
      </c>
      <c r="V14" s="8" t="s">
        <v>144</v>
      </c>
      <c r="W14" s="8" t="s">
        <v>146</v>
      </c>
      <c r="X14" s="8" t="s">
        <v>146</v>
      </c>
      <c r="Y14" s="8" t="s">
        <v>146</v>
      </c>
      <c r="Z14" s="135" t="s">
        <v>147</v>
      </c>
      <c r="AA14" s="215"/>
      <c r="AB14" s="7"/>
      <c r="AC14" s="57" t="s">
        <v>75</v>
      </c>
      <c r="AD14" s="108"/>
      <c r="AE14" s="186"/>
      <c r="AF14" s="186"/>
      <c r="AG14" s="332" t="s">
        <v>38</v>
      </c>
      <c r="AH14" s="333">
        <f>Em</f>
        <v>8</v>
      </c>
      <c r="AI14" s="186"/>
      <c r="AJ14" s="186"/>
      <c r="AK14" s="186"/>
      <c r="AL14" s="186"/>
      <c r="AM14" s="186"/>
      <c r="AN14" s="186"/>
      <c r="AO14" s="186"/>
      <c r="AP14" s="186"/>
      <c r="AQ14" s="186"/>
      <c r="AR14" s="186"/>
      <c r="AS14" s="186"/>
      <c r="AT14" s="186"/>
      <c r="AU14" s="186"/>
      <c r="AV14" s="186"/>
      <c r="AW14" s="186"/>
      <c r="AX14" s="186"/>
    </row>
    <row r="15" spans="2:50" x14ac:dyDescent="0.25">
      <c r="B15" s="145"/>
      <c r="C15" s="9" t="s">
        <v>76</v>
      </c>
      <c r="D15" s="8" t="s">
        <v>151</v>
      </c>
      <c r="E15" s="8" t="s">
        <v>144</v>
      </c>
      <c r="F15" s="8" t="s">
        <v>142</v>
      </c>
      <c r="G15" s="8" t="s">
        <v>142</v>
      </c>
      <c r="H15" s="8" t="s">
        <v>145</v>
      </c>
      <c r="I15" s="8" t="s">
        <v>139</v>
      </c>
      <c r="J15" s="8" t="s">
        <v>145</v>
      </c>
      <c r="K15" s="8" t="s">
        <v>147</v>
      </c>
      <c r="L15" s="8" t="s">
        <v>145</v>
      </c>
      <c r="M15" s="8" t="s">
        <v>138</v>
      </c>
      <c r="N15" s="8" t="s">
        <v>138</v>
      </c>
      <c r="O15" s="8" t="s">
        <v>145</v>
      </c>
      <c r="P15" s="8" t="s">
        <v>144</v>
      </c>
      <c r="Q15" s="8" t="s">
        <v>144</v>
      </c>
      <c r="R15" s="8" t="s">
        <v>147</v>
      </c>
      <c r="S15" s="8" t="s">
        <v>152</v>
      </c>
      <c r="T15" s="8" t="s">
        <v>146</v>
      </c>
      <c r="U15" s="8" t="s">
        <v>152</v>
      </c>
      <c r="V15" s="8" t="s">
        <v>147</v>
      </c>
      <c r="W15" s="8" t="s">
        <v>152</v>
      </c>
      <c r="X15" s="8" t="s">
        <v>152</v>
      </c>
      <c r="Y15" s="8" t="s">
        <v>152</v>
      </c>
      <c r="Z15" s="135" t="s">
        <v>153</v>
      </c>
      <c r="AA15" s="215"/>
      <c r="AB15" s="7"/>
      <c r="AC15" s="57" t="s">
        <v>76</v>
      </c>
      <c r="AD15" s="108"/>
      <c r="AE15" s="186"/>
      <c r="AF15" s="186"/>
      <c r="AG15" s="332" t="s">
        <v>39</v>
      </c>
      <c r="AH15" s="333">
        <f>Pr</f>
        <v>0</v>
      </c>
      <c r="AI15" s="186"/>
      <c r="AJ15" s="186"/>
      <c r="AK15" s="186"/>
      <c r="AL15" s="186"/>
      <c r="AM15" s="186"/>
      <c r="AN15" s="186"/>
      <c r="AO15" s="186"/>
      <c r="AP15" s="186"/>
      <c r="AQ15" s="186"/>
      <c r="AR15" s="186"/>
      <c r="AS15" s="186"/>
      <c r="AT15" s="186"/>
      <c r="AU15" s="186"/>
      <c r="AV15" s="186"/>
      <c r="AW15" s="186"/>
      <c r="AX15" s="186"/>
    </row>
    <row r="16" spans="2:50" x14ac:dyDescent="0.25">
      <c r="B16" s="145"/>
      <c r="C16" s="9" t="s">
        <v>77</v>
      </c>
      <c r="D16" s="8" t="s">
        <v>151</v>
      </c>
      <c r="E16" s="8" t="s">
        <v>147</v>
      </c>
      <c r="F16" s="8" t="s">
        <v>139</v>
      </c>
      <c r="G16" s="8" t="s">
        <v>139</v>
      </c>
      <c r="H16" s="8" t="s">
        <v>146</v>
      </c>
      <c r="I16" s="8" t="s">
        <v>145</v>
      </c>
      <c r="J16" s="8" t="s">
        <v>146</v>
      </c>
      <c r="K16" s="8" t="s">
        <v>153</v>
      </c>
      <c r="L16" s="8" t="s">
        <v>146</v>
      </c>
      <c r="M16" s="8" t="s">
        <v>144</v>
      </c>
      <c r="N16" s="8" t="s">
        <v>144</v>
      </c>
      <c r="O16" s="8" t="s">
        <v>146</v>
      </c>
      <c r="P16" s="8" t="s">
        <v>147</v>
      </c>
      <c r="Q16" s="8" t="s">
        <v>147</v>
      </c>
      <c r="R16" s="8" t="s">
        <v>153</v>
      </c>
      <c r="S16" s="8" t="s">
        <v>154</v>
      </c>
      <c r="T16" s="8" t="s">
        <v>152</v>
      </c>
      <c r="U16" s="8" t="s">
        <v>154</v>
      </c>
      <c r="V16" s="8" t="s">
        <v>153</v>
      </c>
      <c r="W16" s="8" t="s">
        <v>154</v>
      </c>
      <c r="X16" s="8" t="s">
        <v>154</v>
      </c>
      <c r="Y16" s="8" t="s">
        <v>154</v>
      </c>
      <c r="Z16" s="135" t="s">
        <v>154</v>
      </c>
      <c r="AA16" s="215"/>
      <c r="AB16" s="7"/>
      <c r="AC16" s="57" t="s">
        <v>77</v>
      </c>
      <c r="AD16" s="108"/>
      <c r="AE16" s="186"/>
      <c r="AF16" s="186"/>
      <c r="AG16" s="332" t="s">
        <v>638</v>
      </c>
      <c r="AH16" s="333">
        <f>MIN(In,Pr)</f>
        <v>0</v>
      </c>
      <c r="AI16" s="186"/>
      <c r="AJ16" s="186"/>
      <c r="AK16" s="186"/>
      <c r="AL16" s="186"/>
      <c r="AM16" s="186"/>
      <c r="AN16" s="186"/>
      <c r="AO16" s="186"/>
      <c r="AP16" s="186"/>
      <c r="AQ16" s="186"/>
      <c r="AR16" s="186"/>
      <c r="AS16" s="186"/>
      <c r="AT16" s="186"/>
      <c r="AU16" s="186"/>
      <c r="AV16" s="186"/>
      <c r="AW16" s="186"/>
      <c r="AX16" s="186"/>
    </row>
    <row r="17" spans="2:50" x14ac:dyDescent="0.25">
      <c r="B17" s="145"/>
      <c r="C17" s="9" t="s">
        <v>78</v>
      </c>
      <c r="D17" s="8" t="s">
        <v>151</v>
      </c>
      <c r="E17" s="8" t="s">
        <v>152</v>
      </c>
      <c r="F17" s="8" t="s">
        <v>138</v>
      </c>
      <c r="G17" s="8" t="s">
        <v>138</v>
      </c>
      <c r="H17" s="8" t="s">
        <v>147</v>
      </c>
      <c r="I17" s="8" t="s">
        <v>144</v>
      </c>
      <c r="J17" s="8" t="s">
        <v>147</v>
      </c>
      <c r="K17" s="8" t="s">
        <v>154</v>
      </c>
      <c r="L17" s="8" t="s">
        <v>147</v>
      </c>
      <c r="M17" s="8" t="s">
        <v>146</v>
      </c>
      <c r="N17" s="8" t="s">
        <v>146</v>
      </c>
      <c r="O17" s="8" t="s">
        <v>147</v>
      </c>
      <c r="P17" s="8" t="s">
        <v>152</v>
      </c>
      <c r="Q17" s="8" t="s">
        <v>152</v>
      </c>
      <c r="R17" s="8" t="s">
        <v>154</v>
      </c>
      <c r="S17" s="8" t="s">
        <v>154</v>
      </c>
      <c r="T17" s="8" t="s">
        <v>153</v>
      </c>
      <c r="U17" s="8" t="s">
        <v>154</v>
      </c>
      <c r="V17" s="8" t="s">
        <v>154</v>
      </c>
      <c r="W17" s="8" t="s">
        <v>154</v>
      </c>
      <c r="X17" s="8" t="s">
        <v>154</v>
      </c>
      <c r="Y17" s="8" t="s">
        <v>154</v>
      </c>
      <c r="Z17" s="135" t="s">
        <v>154</v>
      </c>
      <c r="AA17" s="215"/>
      <c r="AB17" s="7"/>
      <c r="AC17" s="57" t="s">
        <v>78</v>
      </c>
      <c r="AD17" s="108"/>
      <c r="AE17" s="186"/>
      <c r="AF17" s="186"/>
      <c r="AG17" s="332" t="s">
        <v>636</v>
      </c>
      <c r="AH17" s="333">
        <f>MIN(In,Pr)</f>
        <v>0</v>
      </c>
      <c r="AI17" s="186"/>
      <c r="AJ17" s="186"/>
      <c r="AK17" s="186"/>
      <c r="AL17" s="186"/>
      <c r="AM17" s="186"/>
      <c r="AN17" s="186"/>
      <c r="AO17" s="186"/>
      <c r="AP17" s="186"/>
      <c r="AQ17" s="186"/>
      <c r="AR17" s="186"/>
      <c r="AS17" s="186"/>
      <c r="AT17" s="186"/>
      <c r="AU17" s="186"/>
      <c r="AV17" s="186"/>
      <c r="AW17" s="186"/>
      <c r="AX17" s="186"/>
    </row>
    <row r="18" spans="2:50" x14ac:dyDescent="0.25">
      <c r="B18" s="145"/>
      <c r="C18" s="9" t="s">
        <v>79</v>
      </c>
      <c r="D18" s="8" t="s">
        <v>151</v>
      </c>
      <c r="E18" s="8" t="s">
        <v>153</v>
      </c>
      <c r="F18" s="8" t="s">
        <v>145</v>
      </c>
      <c r="G18" s="8" t="s">
        <v>145</v>
      </c>
      <c r="H18" s="8" t="s">
        <v>152</v>
      </c>
      <c r="I18" s="8" t="s">
        <v>146</v>
      </c>
      <c r="J18" s="8" t="s">
        <v>152</v>
      </c>
      <c r="K18" s="8" t="s">
        <v>154</v>
      </c>
      <c r="L18" s="8" t="s">
        <v>152</v>
      </c>
      <c r="M18" s="8" t="s">
        <v>147</v>
      </c>
      <c r="N18" s="8" t="s">
        <v>147</v>
      </c>
      <c r="O18" s="8" t="s">
        <v>152</v>
      </c>
      <c r="P18" s="8" t="s">
        <v>153</v>
      </c>
      <c r="Q18" s="8" t="s">
        <v>153</v>
      </c>
      <c r="R18" s="8" t="s">
        <v>154</v>
      </c>
      <c r="S18" s="8" t="s">
        <v>154</v>
      </c>
      <c r="T18" s="8" t="s">
        <v>154</v>
      </c>
      <c r="U18" s="8" t="s">
        <v>154</v>
      </c>
      <c r="V18" s="8" t="s">
        <v>154</v>
      </c>
      <c r="W18" s="8" t="s">
        <v>154</v>
      </c>
      <c r="X18" s="8" t="s">
        <v>154</v>
      </c>
      <c r="Y18" s="8" t="s">
        <v>154</v>
      </c>
      <c r="Z18" s="135" t="s">
        <v>154</v>
      </c>
      <c r="AA18" s="215"/>
      <c r="AB18" s="7"/>
      <c r="AC18" s="57" t="s">
        <v>79</v>
      </c>
      <c r="AD18" s="108"/>
      <c r="AE18" s="186"/>
      <c r="AF18" s="186"/>
      <c r="AG18" s="332" t="s">
        <v>637</v>
      </c>
      <c r="AH18" s="333">
        <f>MIN(Em,Pr)</f>
        <v>0</v>
      </c>
      <c r="AI18" s="186"/>
      <c r="AJ18" s="186"/>
      <c r="AK18" s="186"/>
      <c r="AL18" s="186"/>
      <c r="AM18" s="186"/>
      <c r="AN18" s="186"/>
      <c r="AO18" s="186"/>
      <c r="AP18" s="186"/>
      <c r="AQ18" s="186"/>
      <c r="AR18" s="186"/>
      <c r="AS18" s="186"/>
      <c r="AT18" s="186"/>
      <c r="AU18" s="186"/>
      <c r="AV18" s="186"/>
      <c r="AW18" s="186"/>
      <c r="AX18" s="186"/>
    </row>
    <row r="19" spans="2:50" ht="15.75" thickBot="1" x14ac:dyDescent="0.3">
      <c r="B19" s="145" t="s">
        <v>113</v>
      </c>
      <c r="C19" s="9"/>
      <c r="D19" s="8"/>
      <c r="E19" s="8"/>
      <c r="F19" s="8"/>
      <c r="G19" s="8"/>
      <c r="H19" s="8"/>
      <c r="I19" s="8"/>
      <c r="J19" s="8"/>
      <c r="K19" s="8"/>
      <c r="L19" s="8"/>
      <c r="M19" s="8"/>
      <c r="N19" s="8"/>
      <c r="O19" s="8"/>
      <c r="P19" s="8"/>
      <c r="Q19" s="8"/>
      <c r="R19" s="8"/>
      <c r="S19" s="8"/>
      <c r="T19" s="8"/>
      <c r="U19" s="8"/>
      <c r="V19" s="8"/>
      <c r="W19" s="8"/>
      <c r="X19" s="8"/>
      <c r="Y19" s="8"/>
      <c r="Z19" s="135"/>
      <c r="AA19" s="215"/>
      <c r="AB19" s="7" t="s">
        <v>113</v>
      </c>
      <c r="AC19" s="57"/>
      <c r="AD19" s="108"/>
      <c r="AE19" s="186"/>
      <c r="AF19" s="186"/>
      <c r="AG19" s="334" t="s">
        <v>697</v>
      </c>
      <c r="AH19" s="335">
        <f>MIN(Em,In,Pr)</f>
        <v>0</v>
      </c>
      <c r="AI19" s="186"/>
      <c r="AJ19" s="186"/>
      <c r="AK19" s="186"/>
      <c r="AL19" s="186"/>
      <c r="AM19" s="186"/>
      <c r="AN19" s="186"/>
      <c r="AO19" s="186"/>
      <c r="AP19" s="186"/>
      <c r="AQ19" s="186"/>
      <c r="AR19" s="186"/>
      <c r="AS19" s="186"/>
      <c r="AT19" s="186"/>
      <c r="AU19" s="186"/>
      <c r="AV19" s="186"/>
      <c r="AW19" s="186"/>
      <c r="AX19" s="186"/>
    </row>
    <row r="20" spans="2:50" x14ac:dyDescent="0.25">
      <c r="B20" s="145"/>
      <c r="C20" s="9" t="s">
        <v>80</v>
      </c>
      <c r="D20" s="8" t="s">
        <v>155</v>
      </c>
      <c r="E20" s="8" t="s">
        <v>139</v>
      </c>
      <c r="F20" s="8" t="s">
        <v>142</v>
      </c>
      <c r="G20" s="8" t="s">
        <v>141</v>
      </c>
      <c r="H20" s="8" t="s">
        <v>145</v>
      </c>
      <c r="I20" s="8" t="s">
        <v>139</v>
      </c>
      <c r="J20" s="8" t="s">
        <v>145</v>
      </c>
      <c r="K20" s="8" t="s">
        <v>138</v>
      </c>
      <c r="L20" s="8" t="s">
        <v>145</v>
      </c>
      <c r="M20" s="8" t="s">
        <v>139</v>
      </c>
      <c r="N20" s="8" t="s">
        <v>142</v>
      </c>
      <c r="O20" s="8" t="s">
        <v>138</v>
      </c>
      <c r="P20" s="8" t="s">
        <v>144</v>
      </c>
      <c r="Q20" s="8" t="s">
        <v>146</v>
      </c>
      <c r="R20" s="8" t="s">
        <v>145</v>
      </c>
      <c r="S20" s="8" t="s">
        <v>145</v>
      </c>
      <c r="T20" s="8" t="s">
        <v>144</v>
      </c>
      <c r="U20" s="8" t="s">
        <v>146</v>
      </c>
      <c r="V20" s="8" t="s">
        <v>141</v>
      </c>
      <c r="W20" s="8" t="s">
        <v>137</v>
      </c>
      <c r="X20" s="8" t="s">
        <v>137</v>
      </c>
      <c r="Y20" s="8" t="s">
        <v>144</v>
      </c>
      <c r="Z20" s="135" t="s">
        <v>146</v>
      </c>
      <c r="AA20" s="215"/>
      <c r="AB20" s="7"/>
      <c r="AC20" s="57" t="s">
        <v>80</v>
      </c>
      <c r="AD20" s="108"/>
      <c r="AE20" s="186"/>
      <c r="AF20" s="186"/>
      <c r="AG20" s="186"/>
      <c r="AH20" s="186"/>
      <c r="AI20" s="186"/>
      <c r="AJ20" s="186"/>
      <c r="AK20" s="186"/>
      <c r="AL20" s="186"/>
      <c r="AM20" s="186"/>
      <c r="AN20" s="186"/>
      <c r="AO20" s="186"/>
      <c r="AP20" s="186"/>
      <c r="AQ20" s="186"/>
      <c r="AR20" s="186"/>
      <c r="AS20" s="186"/>
      <c r="AT20" s="186"/>
      <c r="AU20" s="186"/>
      <c r="AV20" s="186"/>
      <c r="AW20" s="186"/>
      <c r="AX20" s="186"/>
    </row>
    <row r="21" spans="2:50" x14ac:dyDescent="0.25">
      <c r="B21" s="145"/>
      <c r="C21" s="9" t="s">
        <v>81</v>
      </c>
      <c r="D21" s="8" t="s">
        <v>156</v>
      </c>
      <c r="E21" s="8" t="s">
        <v>139</v>
      </c>
      <c r="F21" s="8" t="s">
        <v>145</v>
      </c>
      <c r="G21" s="8" t="s">
        <v>141</v>
      </c>
      <c r="H21" s="8" t="s">
        <v>144</v>
      </c>
      <c r="I21" s="8" t="s">
        <v>145</v>
      </c>
      <c r="J21" s="8" t="s">
        <v>145</v>
      </c>
      <c r="K21" s="8" t="s">
        <v>139</v>
      </c>
      <c r="L21" s="8" t="s">
        <v>144</v>
      </c>
      <c r="M21" s="8" t="s">
        <v>145</v>
      </c>
      <c r="N21" s="8" t="s">
        <v>139</v>
      </c>
      <c r="O21" s="8" t="s">
        <v>138</v>
      </c>
      <c r="P21" s="8" t="s">
        <v>144</v>
      </c>
      <c r="Q21" s="8" t="s">
        <v>146</v>
      </c>
      <c r="R21" s="8" t="s">
        <v>139</v>
      </c>
      <c r="S21" s="8" t="s">
        <v>139</v>
      </c>
      <c r="T21" s="8" t="s">
        <v>137</v>
      </c>
      <c r="U21" s="8" t="s">
        <v>138</v>
      </c>
      <c r="V21" s="8" t="s">
        <v>141</v>
      </c>
      <c r="W21" s="8" t="s">
        <v>137</v>
      </c>
      <c r="X21" s="8" t="s">
        <v>137</v>
      </c>
      <c r="Y21" s="8" t="s">
        <v>138</v>
      </c>
      <c r="Z21" s="135" t="s">
        <v>137</v>
      </c>
      <c r="AA21" s="215"/>
      <c r="AB21" s="7"/>
      <c r="AC21" s="57" t="s">
        <v>81</v>
      </c>
      <c r="AD21" s="108"/>
      <c r="AE21" s="186"/>
      <c r="AF21" s="186"/>
      <c r="AG21" s="186"/>
      <c r="AH21" s="186"/>
      <c r="AI21" s="186"/>
      <c r="AJ21" s="186"/>
      <c r="AK21" s="186"/>
      <c r="AL21" s="186"/>
      <c r="AM21" s="186"/>
      <c r="AN21" s="186"/>
      <c r="AO21" s="186"/>
      <c r="AP21" s="186"/>
      <c r="AQ21" s="186"/>
      <c r="AR21" s="186"/>
      <c r="AS21" s="186"/>
      <c r="AT21" s="186"/>
      <c r="AU21" s="186"/>
      <c r="AV21" s="186"/>
      <c r="AW21" s="186"/>
      <c r="AX21" s="186"/>
    </row>
    <row r="22" spans="2:50" x14ac:dyDescent="0.25">
      <c r="B22" s="145" t="s">
        <v>64</v>
      </c>
      <c r="C22" s="9"/>
      <c r="D22" s="8"/>
      <c r="E22" s="8"/>
      <c r="F22" s="8"/>
      <c r="G22" s="8"/>
      <c r="H22" s="8"/>
      <c r="I22" s="8"/>
      <c r="J22" s="8"/>
      <c r="K22" s="8"/>
      <c r="L22" s="8"/>
      <c r="M22" s="8"/>
      <c r="N22" s="8"/>
      <c r="O22" s="8"/>
      <c r="P22" s="8"/>
      <c r="Q22" s="8"/>
      <c r="R22" s="8"/>
      <c r="S22" s="8"/>
      <c r="T22" s="8"/>
      <c r="U22" s="8"/>
      <c r="V22" s="8"/>
      <c r="W22" s="8"/>
      <c r="X22" s="8"/>
      <c r="Y22" s="8"/>
      <c r="Z22" s="135"/>
      <c r="AA22" s="215"/>
      <c r="AB22" s="7" t="s">
        <v>64</v>
      </c>
      <c r="AC22" s="57"/>
      <c r="AD22" s="108"/>
      <c r="AE22" s="186"/>
      <c r="AF22" s="186"/>
      <c r="AG22" s="186"/>
      <c r="AH22" s="186"/>
      <c r="AI22" s="186"/>
      <c r="AJ22" s="186"/>
      <c r="AK22" s="186"/>
      <c r="AL22" s="186"/>
      <c r="AM22" s="186"/>
      <c r="AN22" s="186"/>
      <c r="AO22" s="186"/>
      <c r="AP22" s="186"/>
      <c r="AQ22" s="186"/>
      <c r="AR22" s="186"/>
      <c r="AS22" s="186"/>
      <c r="AT22" s="186"/>
      <c r="AU22" s="186"/>
      <c r="AV22" s="186"/>
      <c r="AW22" s="186"/>
      <c r="AX22" s="186"/>
    </row>
    <row r="23" spans="2:50" x14ac:dyDescent="0.25">
      <c r="B23" s="145"/>
      <c r="C23" s="9" t="s">
        <v>82</v>
      </c>
      <c r="D23" s="8" t="s">
        <v>157</v>
      </c>
      <c r="E23" s="8" t="s">
        <v>138</v>
      </c>
      <c r="F23" s="8" t="s">
        <v>147</v>
      </c>
      <c r="G23" s="8" t="s">
        <v>147</v>
      </c>
      <c r="H23" s="8" t="s">
        <v>144</v>
      </c>
      <c r="I23" s="8" t="s">
        <v>146</v>
      </c>
      <c r="J23" s="8" t="s">
        <v>147</v>
      </c>
      <c r="K23" s="8" t="s">
        <v>138</v>
      </c>
      <c r="L23" s="8" t="s">
        <v>145</v>
      </c>
      <c r="M23" s="8" t="s">
        <v>145</v>
      </c>
      <c r="N23" s="8" t="s">
        <v>145</v>
      </c>
      <c r="O23" s="8" t="s">
        <v>145</v>
      </c>
      <c r="P23" s="8" t="s">
        <v>138</v>
      </c>
      <c r="Q23" s="8" t="s">
        <v>137</v>
      </c>
      <c r="R23" s="8" t="s">
        <v>137</v>
      </c>
      <c r="S23" s="8" t="s">
        <v>137</v>
      </c>
      <c r="T23" s="8" t="s">
        <v>140</v>
      </c>
      <c r="U23" s="8" t="s">
        <v>140</v>
      </c>
      <c r="V23" s="8" t="s">
        <v>141</v>
      </c>
      <c r="W23" s="8" t="s">
        <v>142</v>
      </c>
      <c r="X23" s="8" t="s">
        <v>142</v>
      </c>
      <c r="Y23" s="8" t="s">
        <v>137</v>
      </c>
      <c r="Z23" s="135" t="s">
        <v>140</v>
      </c>
      <c r="AA23" s="215"/>
      <c r="AB23" s="7"/>
      <c r="AC23" s="57" t="s">
        <v>82</v>
      </c>
      <c r="AD23" s="108"/>
      <c r="AE23" s="186"/>
      <c r="AF23" s="186"/>
      <c r="AG23" s="337"/>
      <c r="AH23" s="186"/>
      <c r="AI23" s="186"/>
      <c r="AJ23" s="186"/>
      <c r="AK23" s="186"/>
      <c r="AL23" s="186"/>
      <c r="AM23" s="186"/>
      <c r="AN23" s="186"/>
      <c r="AO23" s="186"/>
      <c r="AP23" s="186"/>
      <c r="AQ23" s="186"/>
      <c r="AR23" s="186"/>
      <c r="AS23" s="186"/>
      <c r="AT23" s="186"/>
      <c r="AU23" s="186"/>
      <c r="AV23" s="186"/>
      <c r="AW23" s="186"/>
      <c r="AX23" s="186"/>
    </row>
    <row r="24" spans="2:50" x14ac:dyDescent="0.25">
      <c r="B24" s="145"/>
      <c r="C24" s="9" t="s">
        <v>83</v>
      </c>
      <c r="D24" s="8" t="s">
        <v>149</v>
      </c>
      <c r="E24" s="8" t="s">
        <v>138</v>
      </c>
      <c r="F24" s="8" t="s">
        <v>147</v>
      </c>
      <c r="G24" s="8" t="s">
        <v>147</v>
      </c>
      <c r="H24" s="8" t="s">
        <v>147</v>
      </c>
      <c r="I24" s="8" t="s">
        <v>147</v>
      </c>
      <c r="J24" s="8" t="s">
        <v>147</v>
      </c>
      <c r="K24" s="8" t="s">
        <v>145</v>
      </c>
      <c r="L24" s="8" t="s">
        <v>145</v>
      </c>
      <c r="M24" s="8" t="s">
        <v>145</v>
      </c>
      <c r="N24" s="8" t="s">
        <v>145</v>
      </c>
      <c r="O24" s="8" t="s">
        <v>145</v>
      </c>
      <c r="P24" s="8" t="s">
        <v>138</v>
      </c>
      <c r="Q24" s="8" t="s">
        <v>138</v>
      </c>
      <c r="R24" s="8" t="s">
        <v>142</v>
      </c>
      <c r="S24" s="8" t="s">
        <v>137</v>
      </c>
      <c r="T24" s="8" t="s">
        <v>140</v>
      </c>
      <c r="U24" s="8" t="s">
        <v>140</v>
      </c>
      <c r="V24" s="8" t="s">
        <v>141</v>
      </c>
      <c r="W24" s="8" t="s">
        <v>142</v>
      </c>
      <c r="X24" s="8" t="s">
        <v>142</v>
      </c>
      <c r="Y24" s="8" t="s">
        <v>137</v>
      </c>
      <c r="Z24" s="135" t="s">
        <v>140</v>
      </c>
      <c r="AA24" s="215"/>
      <c r="AB24" s="7"/>
      <c r="AC24" s="57" t="s">
        <v>83</v>
      </c>
      <c r="AD24" s="108"/>
      <c r="AE24" s="186"/>
      <c r="AF24" s="186"/>
      <c r="AG24" s="186"/>
      <c r="AH24" s="186"/>
      <c r="AI24" s="186"/>
      <c r="AJ24" s="186"/>
      <c r="AK24" s="186"/>
      <c r="AL24" s="186"/>
      <c r="AM24" s="186"/>
      <c r="AN24" s="186"/>
      <c r="AO24" s="186"/>
      <c r="AP24" s="186"/>
      <c r="AQ24" s="186"/>
      <c r="AR24" s="186"/>
      <c r="AS24" s="186"/>
      <c r="AT24" s="186"/>
      <c r="AU24" s="186"/>
      <c r="AV24" s="186"/>
      <c r="AW24" s="186"/>
      <c r="AX24" s="186"/>
    </row>
    <row r="25" spans="2:50" x14ac:dyDescent="0.25">
      <c r="B25" s="145"/>
      <c r="C25" s="9" t="s">
        <v>84</v>
      </c>
      <c r="D25" s="8" t="s">
        <v>157</v>
      </c>
      <c r="E25" s="8" t="s">
        <v>138</v>
      </c>
      <c r="F25" s="8" t="s">
        <v>147</v>
      </c>
      <c r="G25" s="8" t="s">
        <v>147</v>
      </c>
      <c r="H25" s="8" t="s">
        <v>147</v>
      </c>
      <c r="I25" s="8" t="s">
        <v>147</v>
      </c>
      <c r="J25" s="8" t="s">
        <v>147</v>
      </c>
      <c r="K25" s="8" t="s">
        <v>145</v>
      </c>
      <c r="L25" s="8" t="s">
        <v>145</v>
      </c>
      <c r="M25" s="8" t="s">
        <v>138</v>
      </c>
      <c r="N25" s="8" t="s">
        <v>145</v>
      </c>
      <c r="O25" s="8" t="s">
        <v>145</v>
      </c>
      <c r="P25" s="8" t="s">
        <v>138</v>
      </c>
      <c r="Q25" s="8" t="s">
        <v>138</v>
      </c>
      <c r="R25" s="8" t="s">
        <v>142</v>
      </c>
      <c r="S25" s="8" t="s">
        <v>137</v>
      </c>
      <c r="T25" s="8" t="s">
        <v>140</v>
      </c>
      <c r="U25" s="8" t="s">
        <v>140</v>
      </c>
      <c r="V25" s="8" t="s">
        <v>141</v>
      </c>
      <c r="W25" s="8" t="s">
        <v>142</v>
      </c>
      <c r="X25" s="8" t="s">
        <v>142</v>
      </c>
      <c r="Y25" s="8" t="s">
        <v>137</v>
      </c>
      <c r="Z25" s="135" t="s">
        <v>140</v>
      </c>
      <c r="AA25" s="215"/>
      <c r="AB25" s="7"/>
      <c r="AC25" s="57" t="s">
        <v>84</v>
      </c>
      <c r="AD25" s="108"/>
      <c r="AE25" s="186"/>
      <c r="AF25" s="186"/>
      <c r="AG25" s="186"/>
      <c r="AH25" s="186"/>
      <c r="AI25" s="186"/>
      <c r="AJ25" s="186"/>
      <c r="AK25" s="186"/>
      <c r="AL25" s="186"/>
      <c r="AM25" s="186"/>
      <c r="AN25" s="186"/>
      <c r="AO25" s="186"/>
      <c r="AP25" s="186"/>
      <c r="AQ25" s="186"/>
      <c r="AR25" s="186"/>
      <c r="AS25" s="186"/>
      <c r="AT25" s="186"/>
      <c r="AU25" s="186"/>
      <c r="AV25" s="186"/>
      <c r="AW25" s="186"/>
      <c r="AX25" s="186"/>
    </row>
    <row r="26" spans="2:50" x14ac:dyDescent="0.25">
      <c r="B26" s="145" t="s">
        <v>65</v>
      </c>
      <c r="C26" s="9"/>
      <c r="D26" s="8"/>
      <c r="E26" s="8"/>
      <c r="F26" s="8"/>
      <c r="G26" s="8"/>
      <c r="H26" s="8"/>
      <c r="I26" s="8"/>
      <c r="J26" s="8"/>
      <c r="K26" s="8"/>
      <c r="L26" s="8"/>
      <c r="M26" s="8"/>
      <c r="N26" s="8"/>
      <c r="O26" s="8"/>
      <c r="P26" s="8"/>
      <c r="Q26" s="8"/>
      <c r="R26" s="8"/>
      <c r="S26" s="8"/>
      <c r="T26" s="8"/>
      <c r="U26" s="8"/>
      <c r="V26" s="8"/>
      <c r="W26" s="8"/>
      <c r="X26" s="8"/>
      <c r="Y26" s="8"/>
      <c r="Z26" s="135"/>
      <c r="AA26" s="215"/>
      <c r="AB26" s="7" t="s">
        <v>65</v>
      </c>
      <c r="AC26" s="57"/>
      <c r="AD26" s="108"/>
      <c r="AE26" s="186"/>
      <c r="AF26" s="186"/>
      <c r="AG26" s="186"/>
      <c r="AH26" s="186"/>
      <c r="AI26" s="186"/>
      <c r="AJ26" s="186"/>
      <c r="AK26" s="186"/>
      <c r="AL26" s="186"/>
      <c r="AM26" s="186"/>
      <c r="AN26" s="186"/>
      <c r="AO26" s="186"/>
      <c r="AP26" s="186"/>
      <c r="AQ26" s="186"/>
      <c r="AR26" s="186"/>
      <c r="AS26" s="186"/>
      <c r="AT26" s="186"/>
      <c r="AU26" s="186"/>
      <c r="AV26" s="186"/>
      <c r="AW26" s="186"/>
      <c r="AX26" s="186"/>
    </row>
    <row r="27" spans="2:50" x14ac:dyDescent="0.25">
      <c r="B27" s="145"/>
      <c r="C27" s="9" t="s">
        <v>85</v>
      </c>
      <c r="D27" s="8" t="s">
        <v>158</v>
      </c>
      <c r="E27" s="8" t="s">
        <v>139</v>
      </c>
      <c r="F27" s="8" t="s">
        <v>137</v>
      </c>
      <c r="G27" s="8" t="s">
        <v>139</v>
      </c>
      <c r="H27" s="8" t="s">
        <v>139</v>
      </c>
      <c r="I27" s="8" t="s">
        <v>137</v>
      </c>
      <c r="J27" s="8" t="s">
        <v>141</v>
      </c>
      <c r="K27" s="8" t="s">
        <v>139</v>
      </c>
      <c r="L27" s="8" t="s">
        <v>141</v>
      </c>
      <c r="M27" s="8" t="s">
        <v>137</v>
      </c>
      <c r="N27" s="8" t="s">
        <v>139</v>
      </c>
      <c r="O27" s="8" t="s">
        <v>138</v>
      </c>
      <c r="P27" s="8" t="s">
        <v>138</v>
      </c>
      <c r="Q27" s="8" t="s">
        <v>138</v>
      </c>
      <c r="R27" s="8" t="s">
        <v>138</v>
      </c>
      <c r="S27" s="8" t="s">
        <v>141</v>
      </c>
      <c r="T27" s="8" t="s">
        <v>145</v>
      </c>
      <c r="U27" s="8" t="s">
        <v>145</v>
      </c>
      <c r="V27" s="8" t="s">
        <v>145</v>
      </c>
      <c r="W27" s="8" t="s">
        <v>138</v>
      </c>
      <c r="X27" s="8" t="s">
        <v>145</v>
      </c>
      <c r="Y27" s="8" t="s">
        <v>145</v>
      </c>
      <c r="Z27" s="135" t="s">
        <v>138</v>
      </c>
      <c r="AA27" s="215"/>
      <c r="AB27" s="7"/>
      <c r="AC27" s="57" t="s">
        <v>85</v>
      </c>
      <c r="AD27" s="108"/>
      <c r="AE27" s="186"/>
      <c r="AF27" s="186"/>
      <c r="AG27" s="186"/>
      <c r="AH27" s="186"/>
      <c r="AI27" s="186"/>
      <c r="AJ27" s="186"/>
      <c r="AK27" s="186"/>
      <c r="AL27" s="186"/>
      <c r="AM27" s="186"/>
      <c r="AN27" s="186"/>
      <c r="AO27" s="186"/>
      <c r="AP27" s="186"/>
      <c r="AQ27" s="186"/>
      <c r="AR27" s="186"/>
      <c r="AS27" s="186"/>
      <c r="AT27" s="186"/>
      <c r="AU27" s="186"/>
      <c r="AV27" s="186"/>
      <c r="AW27" s="186"/>
      <c r="AX27" s="186"/>
    </row>
    <row r="28" spans="2:50" x14ac:dyDescent="0.25">
      <c r="B28" s="145"/>
      <c r="C28" s="9" t="s">
        <v>86</v>
      </c>
      <c r="D28" s="8" t="s">
        <v>159</v>
      </c>
      <c r="E28" s="8" t="s">
        <v>139</v>
      </c>
      <c r="F28" s="8" t="s">
        <v>142</v>
      </c>
      <c r="G28" s="8" t="s">
        <v>139</v>
      </c>
      <c r="H28" s="8" t="s">
        <v>139</v>
      </c>
      <c r="I28" s="8" t="s">
        <v>137</v>
      </c>
      <c r="J28" s="8" t="s">
        <v>141</v>
      </c>
      <c r="K28" s="8" t="s">
        <v>139</v>
      </c>
      <c r="L28" s="8" t="s">
        <v>141</v>
      </c>
      <c r="M28" s="8" t="s">
        <v>142</v>
      </c>
      <c r="N28" s="8" t="s">
        <v>139</v>
      </c>
      <c r="O28" s="8" t="s">
        <v>138</v>
      </c>
      <c r="P28" s="8" t="s">
        <v>138</v>
      </c>
      <c r="Q28" s="8" t="s">
        <v>138</v>
      </c>
      <c r="R28" s="8" t="s">
        <v>138</v>
      </c>
      <c r="S28" s="8" t="s">
        <v>141</v>
      </c>
      <c r="T28" s="8" t="s">
        <v>145</v>
      </c>
      <c r="U28" s="8" t="s">
        <v>145</v>
      </c>
      <c r="V28" s="8" t="s">
        <v>145</v>
      </c>
      <c r="W28" s="8" t="s">
        <v>145</v>
      </c>
      <c r="X28" s="8" t="s">
        <v>145</v>
      </c>
      <c r="Y28" s="8" t="s">
        <v>145</v>
      </c>
      <c r="Z28" s="135" t="s">
        <v>145</v>
      </c>
      <c r="AA28" s="215"/>
      <c r="AB28" s="7"/>
      <c r="AC28" s="57" t="s">
        <v>86</v>
      </c>
      <c r="AD28" s="108"/>
      <c r="AE28" s="186"/>
      <c r="AF28" s="186"/>
      <c r="AG28" s="186"/>
      <c r="AH28" s="186"/>
      <c r="AI28" s="186"/>
      <c r="AJ28" s="186"/>
      <c r="AK28" s="186"/>
      <c r="AL28" s="186"/>
      <c r="AM28" s="186"/>
      <c r="AN28" s="186"/>
      <c r="AO28" s="186"/>
      <c r="AP28" s="186"/>
      <c r="AQ28" s="186"/>
      <c r="AR28" s="186"/>
      <c r="AS28" s="186"/>
      <c r="AT28" s="186"/>
      <c r="AU28" s="186"/>
      <c r="AV28" s="186"/>
      <c r="AW28" s="186"/>
      <c r="AX28" s="186"/>
    </row>
    <row r="29" spans="2:50" x14ac:dyDescent="0.25">
      <c r="B29" s="145"/>
      <c r="C29" s="9" t="s">
        <v>87</v>
      </c>
      <c r="D29" s="8" t="s">
        <v>160</v>
      </c>
      <c r="E29" s="8" t="s">
        <v>139</v>
      </c>
      <c r="F29" s="8" t="s">
        <v>137</v>
      </c>
      <c r="G29" s="8" t="s">
        <v>139</v>
      </c>
      <c r="H29" s="8" t="s">
        <v>139</v>
      </c>
      <c r="I29" s="8" t="s">
        <v>137</v>
      </c>
      <c r="J29" s="8" t="s">
        <v>141</v>
      </c>
      <c r="K29" s="8" t="s">
        <v>139</v>
      </c>
      <c r="L29" s="8" t="s">
        <v>141</v>
      </c>
      <c r="M29" s="8" t="s">
        <v>137</v>
      </c>
      <c r="N29" s="8" t="s">
        <v>139</v>
      </c>
      <c r="O29" s="8" t="s">
        <v>138</v>
      </c>
      <c r="P29" s="8" t="s">
        <v>138</v>
      </c>
      <c r="Q29" s="8" t="s">
        <v>138</v>
      </c>
      <c r="R29" s="8" t="s">
        <v>138</v>
      </c>
      <c r="S29" s="8" t="s">
        <v>141</v>
      </c>
      <c r="T29" s="8" t="s">
        <v>145</v>
      </c>
      <c r="U29" s="8" t="s">
        <v>145</v>
      </c>
      <c r="V29" s="8" t="s">
        <v>145</v>
      </c>
      <c r="W29" s="8" t="s">
        <v>145</v>
      </c>
      <c r="X29" s="8" t="s">
        <v>145</v>
      </c>
      <c r="Y29" s="8" t="s">
        <v>145</v>
      </c>
      <c r="Z29" s="135" t="s">
        <v>145</v>
      </c>
      <c r="AA29" s="215"/>
      <c r="AB29" s="7"/>
      <c r="AC29" s="57" t="s">
        <v>87</v>
      </c>
      <c r="AD29" s="108"/>
      <c r="AE29" s="186"/>
      <c r="AF29" s="186"/>
      <c r="AG29" s="186"/>
      <c r="AH29" s="186"/>
      <c r="AI29" s="186"/>
      <c r="AJ29" s="186"/>
      <c r="AK29" s="186"/>
      <c r="AL29" s="186"/>
      <c r="AM29" s="186"/>
      <c r="AN29" s="186"/>
      <c r="AO29" s="186"/>
      <c r="AP29" s="186"/>
      <c r="AQ29" s="186"/>
      <c r="AR29" s="186"/>
      <c r="AS29" s="186"/>
      <c r="AT29" s="186"/>
      <c r="AU29" s="186"/>
      <c r="AV29" s="186"/>
      <c r="AW29" s="186"/>
      <c r="AX29" s="186"/>
    </row>
    <row r="30" spans="2:50" x14ac:dyDescent="0.25">
      <c r="B30" s="145"/>
      <c r="C30" s="9" t="s">
        <v>88</v>
      </c>
      <c r="D30" s="8" t="s">
        <v>161</v>
      </c>
      <c r="E30" s="8" t="s">
        <v>139</v>
      </c>
      <c r="F30" s="8" t="s">
        <v>137</v>
      </c>
      <c r="G30" s="8" t="s">
        <v>139</v>
      </c>
      <c r="H30" s="8" t="s">
        <v>139</v>
      </c>
      <c r="I30" s="8" t="s">
        <v>137</v>
      </c>
      <c r="J30" s="8" t="s">
        <v>141</v>
      </c>
      <c r="K30" s="8" t="s">
        <v>139</v>
      </c>
      <c r="L30" s="8" t="s">
        <v>141</v>
      </c>
      <c r="M30" s="8" t="s">
        <v>137</v>
      </c>
      <c r="N30" s="8" t="s">
        <v>137</v>
      </c>
      <c r="O30" s="8" t="s">
        <v>138</v>
      </c>
      <c r="P30" s="8" t="s">
        <v>138</v>
      </c>
      <c r="Q30" s="8" t="s">
        <v>138</v>
      </c>
      <c r="R30" s="8" t="s">
        <v>138</v>
      </c>
      <c r="S30" s="8" t="s">
        <v>141</v>
      </c>
      <c r="T30" s="8" t="s">
        <v>145</v>
      </c>
      <c r="U30" s="8" t="s">
        <v>145</v>
      </c>
      <c r="V30" s="8" t="s">
        <v>145</v>
      </c>
      <c r="W30" s="8" t="s">
        <v>145</v>
      </c>
      <c r="X30" s="8" t="s">
        <v>145</v>
      </c>
      <c r="Y30" s="8" t="s">
        <v>145</v>
      </c>
      <c r="Z30" s="135" t="s">
        <v>145</v>
      </c>
      <c r="AA30" s="215"/>
      <c r="AB30" s="7"/>
      <c r="AC30" s="57" t="s">
        <v>88</v>
      </c>
      <c r="AD30" s="108"/>
      <c r="AE30" s="186"/>
      <c r="AF30" s="186"/>
      <c r="AG30" s="186"/>
      <c r="AH30" s="186"/>
      <c r="AI30" s="186"/>
      <c r="AJ30" s="186"/>
      <c r="AK30" s="186"/>
      <c r="AL30" s="186"/>
      <c r="AM30" s="186"/>
      <c r="AN30" s="186"/>
      <c r="AO30" s="186"/>
      <c r="AP30" s="186"/>
      <c r="AQ30" s="186"/>
      <c r="AR30" s="186"/>
      <c r="AS30" s="186"/>
      <c r="AT30" s="186"/>
      <c r="AU30" s="186"/>
      <c r="AV30" s="186"/>
      <c r="AW30" s="186"/>
      <c r="AX30" s="186"/>
    </row>
    <row r="31" spans="2:50" x14ac:dyDescent="0.25">
      <c r="B31" s="145" t="s">
        <v>112</v>
      </c>
      <c r="C31" s="9"/>
      <c r="D31" s="8"/>
      <c r="E31" s="8"/>
      <c r="F31" s="8"/>
      <c r="G31" s="8"/>
      <c r="H31" s="8"/>
      <c r="I31" s="8"/>
      <c r="J31" s="8"/>
      <c r="K31" s="8"/>
      <c r="L31" s="8"/>
      <c r="M31" s="8"/>
      <c r="N31" s="8"/>
      <c r="O31" s="8"/>
      <c r="P31" s="8"/>
      <c r="Q31" s="8"/>
      <c r="R31" s="8"/>
      <c r="S31" s="8"/>
      <c r="T31" s="8"/>
      <c r="U31" s="8"/>
      <c r="V31" s="8"/>
      <c r="W31" s="8"/>
      <c r="X31" s="8"/>
      <c r="Y31" s="8"/>
      <c r="Z31" s="135"/>
      <c r="AA31" s="215"/>
      <c r="AB31" s="7" t="s">
        <v>112</v>
      </c>
      <c r="AC31" s="57"/>
      <c r="AD31" s="108"/>
      <c r="AE31" s="186"/>
      <c r="AF31" s="186"/>
      <c r="AG31" s="186"/>
      <c r="AH31" s="186"/>
      <c r="AI31" s="186"/>
      <c r="AJ31" s="186"/>
      <c r="AK31" s="186"/>
      <c r="AL31" s="186"/>
      <c r="AM31" s="186"/>
      <c r="AN31" s="186"/>
      <c r="AO31" s="186"/>
      <c r="AP31" s="186"/>
      <c r="AQ31" s="186"/>
      <c r="AR31" s="186"/>
      <c r="AS31" s="186"/>
      <c r="AT31" s="186"/>
      <c r="AU31" s="186"/>
      <c r="AV31" s="186"/>
      <c r="AW31" s="186"/>
      <c r="AX31" s="186"/>
    </row>
    <row r="32" spans="2:50" x14ac:dyDescent="0.25">
      <c r="B32" s="145"/>
      <c r="C32" s="9" t="s">
        <v>89</v>
      </c>
      <c r="D32" s="8" t="s">
        <v>162</v>
      </c>
      <c r="E32" s="8" t="s">
        <v>137</v>
      </c>
      <c r="F32" s="8" t="s">
        <v>139</v>
      </c>
      <c r="G32" s="8" t="s">
        <v>139</v>
      </c>
      <c r="H32" s="8" t="s">
        <v>142</v>
      </c>
      <c r="I32" s="8" t="s">
        <v>137</v>
      </c>
      <c r="J32" s="8" t="s">
        <v>139</v>
      </c>
      <c r="K32" s="8" t="s">
        <v>142</v>
      </c>
      <c r="L32" s="8" t="s">
        <v>140</v>
      </c>
      <c r="M32" s="8" t="s">
        <v>139</v>
      </c>
      <c r="N32" s="8" t="s">
        <v>139</v>
      </c>
      <c r="O32" s="8" t="s">
        <v>139</v>
      </c>
      <c r="P32" s="8" t="s">
        <v>139</v>
      </c>
      <c r="Q32" s="8" t="s">
        <v>137</v>
      </c>
      <c r="R32" s="8" t="s">
        <v>139</v>
      </c>
      <c r="S32" s="8" t="s">
        <v>137</v>
      </c>
      <c r="T32" s="8" t="s">
        <v>139</v>
      </c>
      <c r="U32" s="8" t="s">
        <v>137</v>
      </c>
      <c r="V32" s="8" t="s">
        <v>138</v>
      </c>
      <c r="W32" s="8" t="s">
        <v>139</v>
      </c>
      <c r="X32" s="8" t="s">
        <v>139</v>
      </c>
      <c r="Y32" s="8" t="s">
        <v>139</v>
      </c>
      <c r="Z32" s="135" t="s">
        <v>139</v>
      </c>
      <c r="AA32" s="215"/>
      <c r="AB32" s="7"/>
      <c r="AC32" s="57" t="s">
        <v>89</v>
      </c>
      <c r="AD32" s="108"/>
      <c r="AE32" s="186"/>
      <c r="AF32" s="186"/>
      <c r="AG32" s="186"/>
      <c r="AH32" s="186"/>
      <c r="AI32" s="186"/>
      <c r="AJ32" s="186"/>
      <c r="AK32" s="186"/>
      <c r="AL32" s="186"/>
      <c r="AM32" s="186"/>
      <c r="AN32" s="186"/>
      <c r="AO32" s="186"/>
      <c r="AP32" s="186"/>
      <c r="AQ32" s="186"/>
      <c r="AR32" s="186"/>
      <c r="AS32" s="186"/>
      <c r="AT32" s="186"/>
      <c r="AU32" s="186"/>
      <c r="AV32" s="186"/>
      <c r="AW32" s="186"/>
      <c r="AX32" s="186"/>
    </row>
    <row r="33" spans="2:50" x14ac:dyDescent="0.25">
      <c r="B33" s="145"/>
      <c r="C33" s="9" t="s">
        <v>90</v>
      </c>
      <c r="D33" s="8" t="s">
        <v>163</v>
      </c>
      <c r="E33" s="8" t="s">
        <v>137</v>
      </c>
      <c r="F33" s="8" t="s">
        <v>139</v>
      </c>
      <c r="G33" s="8" t="s">
        <v>139</v>
      </c>
      <c r="H33" s="8" t="s">
        <v>140</v>
      </c>
      <c r="I33" s="8" t="s">
        <v>142</v>
      </c>
      <c r="J33" s="8" t="s">
        <v>139</v>
      </c>
      <c r="K33" s="8" t="s">
        <v>142</v>
      </c>
      <c r="L33" s="8" t="s">
        <v>141</v>
      </c>
      <c r="M33" s="8" t="s">
        <v>139</v>
      </c>
      <c r="N33" s="8" t="s">
        <v>139</v>
      </c>
      <c r="O33" s="8" t="s">
        <v>142</v>
      </c>
      <c r="P33" s="8" t="s">
        <v>139</v>
      </c>
      <c r="Q33" s="8" t="s">
        <v>141</v>
      </c>
      <c r="R33" s="8" t="s">
        <v>145</v>
      </c>
      <c r="S33" s="8" t="s">
        <v>138</v>
      </c>
      <c r="T33" s="8" t="s">
        <v>145</v>
      </c>
      <c r="U33" s="8" t="s">
        <v>141</v>
      </c>
      <c r="V33" s="8" t="s">
        <v>138</v>
      </c>
      <c r="W33" s="8" t="s">
        <v>137</v>
      </c>
      <c r="X33" s="8" t="s">
        <v>139</v>
      </c>
      <c r="Y33" s="8" t="s">
        <v>137</v>
      </c>
      <c r="Z33" s="135" t="s">
        <v>145</v>
      </c>
      <c r="AA33" s="215"/>
      <c r="AB33" s="7"/>
      <c r="AC33" s="57" t="s">
        <v>90</v>
      </c>
      <c r="AD33" s="108"/>
      <c r="AE33" s="186"/>
      <c r="AF33" s="186"/>
      <c r="AG33" s="186"/>
      <c r="AH33" s="186"/>
      <c r="AI33" s="186"/>
      <c r="AJ33" s="186"/>
      <c r="AK33" s="186"/>
      <c r="AL33" s="186"/>
      <c r="AM33" s="186"/>
      <c r="AN33" s="186"/>
      <c r="AO33" s="186"/>
      <c r="AP33" s="186"/>
      <c r="AQ33" s="186"/>
      <c r="AR33" s="186"/>
      <c r="AS33" s="186"/>
      <c r="AT33" s="186"/>
      <c r="AU33" s="186"/>
      <c r="AV33" s="186"/>
      <c r="AW33" s="186"/>
      <c r="AX33" s="186"/>
    </row>
    <row r="34" spans="2:50" x14ac:dyDescent="0.25">
      <c r="B34" s="145"/>
      <c r="C34" s="9" t="s">
        <v>91</v>
      </c>
      <c r="D34" s="8" t="s">
        <v>164</v>
      </c>
      <c r="E34" s="8" t="s">
        <v>137</v>
      </c>
      <c r="F34" s="8" t="s">
        <v>137</v>
      </c>
      <c r="G34" s="8" t="s">
        <v>139</v>
      </c>
      <c r="H34" s="8" t="s">
        <v>142</v>
      </c>
      <c r="I34" s="8" t="s">
        <v>137</v>
      </c>
      <c r="J34" s="8" t="s">
        <v>139</v>
      </c>
      <c r="K34" s="8" t="s">
        <v>142</v>
      </c>
      <c r="L34" s="8" t="s">
        <v>140</v>
      </c>
      <c r="M34" s="8" t="s">
        <v>139</v>
      </c>
      <c r="N34" s="8" t="s">
        <v>139</v>
      </c>
      <c r="O34" s="8" t="s">
        <v>137</v>
      </c>
      <c r="P34" s="8" t="s">
        <v>139</v>
      </c>
      <c r="Q34" s="8" t="s">
        <v>137</v>
      </c>
      <c r="R34" s="8" t="s">
        <v>145</v>
      </c>
      <c r="S34" s="8" t="s">
        <v>137</v>
      </c>
      <c r="T34" s="8" t="s">
        <v>145</v>
      </c>
      <c r="U34" s="8" t="s">
        <v>137</v>
      </c>
      <c r="V34" s="8" t="s">
        <v>138</v>
      </c>
      <c r="W34" s="8" t="s">
        <v>145</v>
      </c>
      <c r="X34" s="8" t="s">
        <v>145</v>
      </c>
      <c r="Y34" s="8" t="s">
        <v>139</v>
      </c>
      <c r="Z34" s="135" t="s">
        <v>145</v>
      </c>
      <c r="AA34" s="215"/>
      <c r="AB34" s="7"/>
      <c r="AC34" s="57" t="s">
        <v>91</v>
      </c>
      <c r="AD34" s="108"/>
      <c r="AE34" s="186"/>
      <c r="AF34" s="186"/>
      <c r="AG34" s="186"/>
      <c r="AH34" s="186"/>
      <c r="AI34" s="186"/>
      <c r="AJ34" s="186"/>
      <c r="AK34" s="186"/>
      <c r="AL34" s="186"/>
      <c r="AM34" s="186"/>
      <c r="AN34" s="186"/>
      <c r="AO34" s="186"/>
      <c r="AP34" s="186"/>
      <c r="AQ34" s="186"/>
      <c r="AR34" s="186"/>
      <c r="AS34" s="186"/>
      <c r="AT34" s="186"/>
      <c r="AU34" s="186"/>
      <c r="AV34" s="186"/>
      <c r="AW34" s="186"/>
      <c r="AX34" s="186"/>
    </row>
    <row r="35" spans="2:50" x14ac:dyDescent="0.25">
      <c r="B35" s="145" t="s">
        <v>66</v>
      </c>
      <c r="C35" s="9"/>
      <c r="D35" s="8"/>
      <c r="E35" s="8"/>
      <c r="F35" s="8"/>
      <c r="G35" s="8"/>
      <c r="H35" s="8"/>
      <c r="I35" s="8"/>
      <c r="J35" s="8"/>
      <c r="K35" s="8"/>
      <c r="L35" s="8"/>
      <c r="M35" s="8"/>
      <c r="N35" s="8"/>
      <c r="O35" s="8"/>
      <c r="P35" s="8"/>
      <c r="Q35" s="8"/>
      <c r="R35" s="8"/>
      <c r="S35" s="8"/>
      <c r="T35" s="8"/>
      <c r="U35" s="8"/>
      <c r="V35" s="8"/>
      <c r="W35" s="8"/>
      <c r="X35" s="8"/>
      <c r="Y35" s="8"/>
      <c r="Z35" s="135"/>
      <c r="AA35" s="215"/>
      <c r="AB35" s="7" t="s">
        <v>66</v>
      </c>
      <c r="AC35" s="57"/>
      <c r="AD35" s="108"/>
      <c r="AE35" s="186"/>
      <c r="AF35" s="186"/>
      <c r="AG35" s="186"/>
      <c r="AH35" s="186"/>
      <c r="AI35" s="186"/>
      <c r="AJ35" s="186"/>
      <c r="AK35" s="186"/>
      <c r="AL35" s="186"/>
      <c r="AM35" s="186"/>
      <c r="AN35" s="186"/>
      <c r="AO35" s="186"/>
      <c r="AP35" s="186"/>
      <c r="AQ35" s="186"/>
      <c r="AR35" s="186"/>
      <c r="AS35" s="186"/>
      <c r="AT35" s="186"/>
      <c r="AU35" s="186"/>
      <c r="AV35" s="186"/>
      <c r="AW35" s="186"/>
      <c r="AX35" s="186"/>
    </row>
    <row r="36" spans="2:50" x14ac:dyDescent="0.25">
      <c r="B36" s="145"/>
      <c r="C36" s="9" t="s">
        <v>92</v>
      </c>
      <c r="D36" s="8" t="s">
        <v>157</v>
      </c>
      <c r="E36" s="8" t="s">
        <v>139</v>
      </c>
      <c r="F36" s="8" t="s">
        <v>139</v>
      </c>
      <c r="G36" s="8" t="s">
        <v>138</v>
      </c>
      <c r="H36" s="8" t="s">
        <v>142</v>
      </c>
      <c r="I36" s="8" t="s">
        <v>137</v>
      </c>
      <c r="J36" s="8" t="s">
        <v>139</v>
      </c>
      <c r="K36" s="8" t="s">
        <v>137</v>
      </c>
      <c r="L36" s="8" t="s">
        <v>138</v>
      </c>
      <c r="M36" s="8" t="s">
        <v>137</v>
      </c>
      <c r="N36" s="8" t="s">
        <v>139</v>
      </c>
      <c r="O36" s="8" t="s">
        <v>142</v>
      </c>
      <c r="P36" s="8" t="s">
        <v>142</v>
      </c>
      <c r="Q36" s="8" t="s">
        <v>142</v>
      </c>
      <c r="R36" s="8" t="s">
        <v>141</v>
      </c>
      <c r="S36" s="8" t="s">
        <v>138</v>
      </c>
      <c r="T36" s="8" t="s">
        <v>137</v>
      </c>
      <c r="U36" s="8" t="s">
        <v>137</v>
      </c>
      <c r="V36" s="8" t="s">
        <v>141</v>
      </c>
      <c r="W36" s="8" t="s">
        <v>142</v>
      </c>
      <c r="X36" s="8" t="s">
        <v>137</v>
      </c>
      <c r="Y36" s="8" t="s">
        <v>142</v>
      </c>
      <c r="Z36" s="135" t="s">
        <v>142</v>
      </c>
      <c r="AA36" s="215"/>
      <c r="AB36" s="7"/>
      <c r="AC36" s="57" t="s">
        <v>92</v>
      </c>
      <c r="AD36" s="108"/>
      <c r="AE36" s="186"/>
      <c r="AF36" s="186"/>
      <c r="AG36" s="186"/>
      <c r="AH36" s="186"/>
      <c r="AI36" s="186"/>
      <c r="AJ36" s="186"/>
      <c r="AK36" s="186"/>
      <c r="AL36" s="186"/>
      <c r="AM36" s="186"/>
      <c r="AN36" s="186"/>
      <c r="AO36" s="186"/>
      <c r="AP36" s="186"/>
      <c r="AQ36" s="186"/>
      <c r="AR36" s="186"/>
      <c r="AS36" s="186"/>
      <c r="AT36" s="186"/>
      <c r="AU36" s="186"/>
      <c r="AV36" s="186"/>
      <c r="AW36" s="186"/>
      <c r="AX36" s="186"/>
    </row>
    <row r="37" spans="2:50" x14ac:dyDescent="0.25">
      <c r="B37" s="145"/>
      <c r="C37" s="9" t="s">
        <v>93</v>
      </c>
      <c r="D37" s="8" t="s">
        <v>165</v>
      </c>
      <c r="E37" s="8" t="s">
        <v>139</v>
      </c>
      <c r="F37" s="8" t="s">
        <v>137</v>
      </c>
      <c r="G37" s="8" t="s">
        <v>138</v>
      </c>
      <c r="H37" s="8" t="s">
        <v>139</v>
      </c>
      <c r="I37" s="8" t="s">
        <v>139</v>
      </c>
      <c r="J37" s="8" t="s">
        <v>139</v>
      </c>
      <c r="K37" s="8" t="s">
        <v>142</v>
      </c>
      <c r="L37" s="8" t="s">
        <v>138</v>
      </c>
      <c r="M37" s="8" t="s">
        <v>140</v>
      </c>
      <c r="N37" s="8" t="s">
        <v>139</v>
      </c>
      <c r="O37" s="8" t="s">
        <v>139</v>
      </c>
      <c r="P37" s="8" t="s">
        <v>142</v>
      </c>
      <c r="Q37" s="8" t="s">
        <v>137</v>
      </c>
      <c r="R37" s="8" t="s">
        <v>141</v>
      </c>
      <c r="S37" s="8" t="s">
        <v>138</v>
      </c>
      <c r="T37" s="8" t="s">
        <v>137</v>
      </c>
      <c r="U37" s="8" t="s">
        <v>137</v>
      </c>
      <c r="V37" s="8" t="s">
        <v>141</v>
      </c>
      <c r="W37" s="8" t="s">
        <v>142</v>
      </c>
      <c r="X37" s="8" t="s">
        <v>137</v>
      </c>
      <c r="Y37" s="8" t="s">
        <v>142</v>
      </c>
      <c r="Z37" s="135" t="s">
        <v>137</v>
      </c>
      <c r="AA37" s="215"/>
      <c r="AB37" s="7"/>
      <c r="AC37" s="57" t="s">
        <v>93</v>
      </c>
      <c r="AD37" s="108"/>
      <c r="AE37" s="186"/>
      <c r="AF37" s="186"/>
      <c r="AG37" s="186"/>
      <c r="AH37" s="186"/>
      <c r="AI37" s="186"/>
      <c r="AJ37" s="186"/>
      <c r="AK37" s="186"/>
      <c r="AL37" s="186"/>
      <c r="AM37" s="186"/>
      <c r="AN37" s="186"/>
      <c r="AO37" s="186"/>
      <c r="AP37" s="186"/>
      <c r="AQ37" s="186"/>
      <c r="AR37" s="186"/>
      <c r="AS37" s="186"/>
      <c r="AT37" s="186"/>
      <c r="AU37" s="186"/>
      <c r="AV37" s="186"/>
      <c r="AW37" s="186"/>
      <c r="AX37" s="186"/>
    </row>
    <row r="38" spans="2:50" x14ac:dyDescent="0.25">
      <c r="B38" s="145"/>
      <c r="C38" s="9" t="s">
        <v>94</v>
      </c>
      <c r="D38" s="8" t="s">
        <v>166</v>
      </c>
      <c r="E38" s="8" t="s">
        <v>139</v>
      </c>
      <c r="F38" s="8" t="s">
        <v>139</v>
      </c>
      <c r="G38" s="8" t="s">
        <v>138</v>
      </c>
      <c r="H38" s="8" t="s">
        <v>139</v>
      </c>
      <c r="I38" s="8" t="s">
        <v>139</v>
      </c>
      <c r="J38" s="8" t="s">
        <v>139</v>
      </c>
      <c r="K38" s="8" t="s">
        <v>137</v>
      </c>
      <c r="L38" s="8" t="s">
        <v>138</v>
      </c>
      <c r="M38" s="8" t="s">
        <v>137</v>
      </c>
      <c r="N38" s="8" t="s">
        <v>139</v>
      </c>
      <c r="O38" s="8" t="s">
        <v>139</v>
      </c>
      <c r="P38" s="8" t="s">
        <v>142</v>
      </c>
      <c r="Q38" s="8" t="s">
        <v>142</v>
      </c>
      <c r="R38" s="8" t="s">
        <v>141</v>
      </c>
      <c r="S38" s="8" t="s">
        <v>138</v>
      </c>
      <c r="T38" s="8" t="s">
        <v>137</v>
      </c>
      <c r="U38" s="8" t="s">
        <v>137</v>
      </c>
      <c r="V38" s="8" t="s">
        <v>141</v>
      </c>
      <c r="W38" s="8" t="s">
        <v>142</v>
      </c>
      <c r="X38" s="8" t="s">
        <v>137</v>
      </c>
      <c r="Y38" s="8" t="s">
        <v>142</v>
      </c>
      <c r="Z38" s="135" t="s">
        <v>137</v>
      </c>
      <c r="AA38" s="215"/>
      <c r="AB38" s="7"/>
      <c r="AC38" s="57" t="s">
        <v>94</v>
      </c>
      <c r="AD38" s="108"/>
      <c r="AE38" s="186"/>
      <c r="AF38" s="186"/>
      <c r="AG38" s="186"/>
      <c r="AH38" s="186"/>
      <c r="AI38" s="186"/>
      <c r="AJ38" s="186"/>
      <c r="AK38" s="186"/>
      <c r="AL38" s="186"/>
      <c r="AM38" s="186"/>
      <c r="AN38" s="186"/>
      <c r="AO38" s="186"/>
      <c r="AP38" s="186"/>
      <c r="AQ38" s="186"/>
      <c r="AR38" s="186"/>
      <c r="AS38" s="186"/>
      <c r="AT38" s="186"/>
      <c r="AU38" s="186"/>
      <c r="AV38" s="186"/>
      <c r="AW38" s="186"/>
      <c r="AX38" s="186"/>
    </row>
    <row r="39" spans="2:50" x14ac:dyDescent="0.25">
      <c r="B39" s="145" t="s">
        <v>111</v>
      </c>
      <c r="C39" s="9"/>
      <c r="D39" s="8"/>
      <c r="E39" s="8"/>
      <c r="F39" s="8"/>
      <c r="G39" s="8"/>
      <c r="H39" s="8"/>
      <c r="I39" s="8"/>
      <c r="J39" s="8"/>
      <c r="K39" s="8"/>
      <c r="L39" s="8"/>
      <c r="M39" s="8"/>
      <c r="N39" s="8"/>
      <c r="O39" s="8"/>
      <c r="P39" s="8"/>
      <c r="Q39" s="8"/>
      <c r="R39" s="8"/>
      <c r="S39" s="8"/>
      <c r="T39" s="8"/>
      <c r="U39" s="8"/>
      <c r="V39" s="8"/>
      <c r="W39" s="8"/>
      <c r="X39" s="8"/>
      <c r="Y39" s="8"/>
      <c r="Z39" s="135"/>
      <c r="AA39" s="215"/>
      <c r="AB39" s="7" t="s">
        <v>111</v>
      </c>
      <c r="AC39" s="57"/>
      <c r="AD39" s="108"/>
      <c r="AE39" s="186"/>
      <c r="AF39" s="186"/>
      <c r="AG39" s="186"/>
      <c r="AH39" s="186"/>
      <c r="AI39" s="186"/>
      <c r="AJ39" s="186"/>
      <c r="AK39" s="186"/>
      <c r="AL39" s="186"/>
      <c r="AM39" s="186"/>
      <c r="AN39" s="186"/>
      <c r="AO39" s="186"/>
      <c r="AP39" s="186"/>
      <c r="AQ39" s="186"/>
      <c r="AR39" s="186"/>
      <c r="AS39" s="186"/>
      <c r="AT39" s="186"/>
      <c r="AU39" s="186"/>
      <c r="AV39" s="186"/>
      <c r="AW39" s="186"/>
      <c r="AX39" s="186"/>
    </row>
    <row r="40" spans="2:50" x14ac:dyDescent="0.25">
      <c r="B40" s="145"/>
      <c r="C40" s="9" t="s">
        <v>95</v>
      </c>
      <c r="D40" s="8" t="s">
        <v>280</v>
      </c>
      <c r="E40" s="8" t="s">
        <v>145</v>
      </c>
      <c r="F40" s="8" t="s">
        <v>152</v>
      </c>
      <c r="G40" s="8" t="s">
        <v>152</v>
      </c>
      <c r="H40" s="8" t="s">
        <v>152</v>
      </c>
      <c r="I40" s="8" t="s">
        <v>152</v>
      </c>
      <c r="J40" s="8" t="s">
        <v>152</v>
      </c>
      <c r="K40" s="8" t="s">
        <v>146</v>
      </c>
      <c r="L40" s="8" t="s">
        <v>138</v>
      </c>
      <c r="M40" s="8" t="s">
        <v>145</v>
      </c>
      <c r="N40" s="8" t="s">
        <v>145</v>
      </c>
      <c r="O40" s="8" t="s">
        <v>138</v>
      </c>
      <c r="P40" s="8" t="s">
        <v>139</v>
      </c>
      <c r="Q40" s="8" t="s">
        <v>138</v>
      </c>
      <c r="R40" s="8" t="s">
        <v>140</v>
      </c>
      <c r="S40" s="8" t="s">
        <v>140</v>
      </c>
      <c r="T40" s="8" t="s">
        <v>141</v>
      </c>
      <c r="U40" s="8" t="s">
        <v>141</v>
      </c>
      <c r="V40" s="8" t="s">
        <v>137</v>
      </c>
      <c r="W40" s="8" t="s">
        <v>137</v>
      </c>
      <c r="X40" s="8" t="s">
        <v>137</v>
      </c>
      <c r="Y40" s="8" t="s">
        <v>137</v>
      </c>
      <c r="Z40" s="135" t="s">
        <v>140</v>
      </c>
      <c r="AA40" s="215"/>
      <c r="AB40" s="7"/>
      <c r="AC40" s="57" t="s">
        <v>95</v>
      </c>
      <c r="AD40" s="108"/>
      <c r="AE40" s="186"/>
      <c r="AF40" s="186"/>
      <c r="AG40" s="186"/>
      <c r="AH40" s="186"/>
      <c r="AI40" s="186"/>
      <c r="AJ40" s="186"/>
      <c r="AK40" s="186"/>
      <c r="AL40" s="186"/>
      <c r="AM40" s="186"/>
      <c r="AN40" s="186"/>
      <c r="AO40" s="186"/>
      <c r="AP40" s="186"/>
      <c r="AQ40" s="186"/>
      <c r="AR40" s="186"/>
      <c r="AS40" s="186"/>
      <c r="AT40" s="186"/>
      <c r="AU40" s="186"/>
      <c r="AV40" s="186"/>
      <c r="AW40" s="186"/>
      <c r="AX40" s="186"/>
    </row>
    <row r="41" spans="2:50" x14ac:dyDescent="0.25">
      <c r="B41" s="145"/>
      <c r="C41" s="9" t="s">
        <v>96</v>
      </c>
      <c r="D41" s="8" t="s">
        <v>281</v>
      </c>
      <c r="E41" s="8" t="s">
        <v>145</v>
      </c>
      <c r="F41" s="8" t="s">
        <v>152</v>
      </c>
      <c r="G41" s="8" t="s">
        <v>152</v>
      </c>
      <c r="H41" s="8" t="s">
        <v>152</v>
      </c>
      <c r="I41" s="8" t="s">
        <v>152</v>
      </c>
      <c r="J41" s="8" t="s">
        <v>152</v>
      </c>
      <c r="K41" s="8" t="s">
        <v>146</v>
      </c>
      <c r="L41" s="8" t="s">
        <v>138</v>
      </c>
      <c r="M41" s="8" t="s">
        <v>145</v>
      </c>
      <c r="N41" s="8" t="s">
        <v>145</v>
      </c>
      <c r="O41" s="8" t="s">
        <v>138</v>
      </c>
      <c r="P41" s="8" t="s">
        <v>139</v>
      </c>
      <c r="Q41" s="8" t="s">
        <v>138</v>
      </c>
      <c r="R41" s="8" t="s">
        <v>141</v>
      </c>
      <c r="S41" s="8" t="s">
        <v>141</v>
      </c>
      <c r="T41" s="8" t="s">
        <v>141</v>
      </c>
      <c r="U41" s="8" t="s">
        <v>140</v>
      </c>
      <c r="V41" s="8" t="s">
        <v>141</v>
      </c>
      <c r="W41" s="8" t="s">
        <v>141</v>
      </c>
      <c r="X41" s="8" t="s">
        <v>141</v>
      </c>
      <c r="Y41" s="8" t="s">
        <v>141</v>
      </c>
      <c r="Z41" s="135" t="s">
        <v>141</v>
      </c>
      <c r="AA41" s="215"/>
      <c r="AB41" s="7"/>
      <c r="AC41" s="57" t="s">
        <v>96</v>
      </c>
      <c r="AD41" s="108"/>
      <c r="AE41" s="186"/>
      <c r="AF41" s="186"/>
      <c r="AG41" s="186"/>
      <c r="AH41" s="186"/>
      <c r="AI41" s="186"/>
      <c r="AJ41" s="186"/>
      <c r="AK41" s="186"/>
      <c r="AL41" s="186"/>
      <c r="AM41" s="186"/>
      <c r="AN41" s="186"/>
      <c r="AO41" s="186"/>
      <c r="AP41" s="186"/>
      <c r="AQ41" s="186"/>
      <c r="AR41" s="186"/>
      <c r="AS41" s="186"/>
      <c r="AT41" s="186"/>
      <c r="AU41" s="186"/>
      <c r="AV41" s="186"/>
      <c r="AW41" s="186"/>
      <c r="AX41" s="186"/>
    </row>
    <row r="42" spans="2:50" x14ac:dyDescent="0.25">
      <c r="B42" s="145"/>
      <c r="C42" s="9" t="s">
        <v>97</v>
      </c>
      <c r="D42" s="8" t="s">
        <v>620</v>
      </c>
      <c r="E42" s="8" t="s">
        <v>145</v>
      </c>
      <c r="F42" s="8" t="s">
        <v>152</v>
      </c>
      <c r="G42" s="8" t="s">
        <v>152</v>
      </c>
      <c r="H42" s="8" t="s">
        <v>152</v>
      </c>
      <c r="I42" s="8" t="s">
        <v>152</v>
      </c>
      <c r="J42" s="8" t="s">
        <v>152</v>
      </c>
      <c r="K42" s="8" t="s">
        <v>146</v>
      </c>
      <c r="L42" s="8" t="s">
        <v>138</v>
      </c>
      <c r="M42" s="8" t="s">
        <v>145</v>
      </c>
      <c r="N42" s="8" t="s">
        <v>145</v>
      </c>
      <c r="O42" s="8" t="s">
        <v>138</v>
      </c>
      <c r="P42" s="8" t="s">
        <v>139</v>
      </c>
      <c r="Q42" s="8" t="s">
        <v>138</v>
      </c>
      <c r="R42" s="8" t="s">
        <v>141</v>
      </c>
      <c r="S42" s="8" t="s">
        <v>141</v>
      </c>
      <c r="T42" s="8" t="s">
        <v>141</v>
      </c>
      <c r="U42" s="8" t="s">
        <v>141</v>
      </c>
      <c r="V42" s="8" t="s">
        <v>141</v>
      </c>
      <c r="W42" s="8" t="s">
        <v>141</v>
      </c>
      <c r="X42" s="8" t="s">
        <v>141</v>
      </c>
      <c r="Y42" s="8" t="s">
        <v>141</v>
      </c>
      <c r="Z42" s="135" t="s">
        <v>140</v>
      </c>
      <c r="AA42" s="215"/>
      <c r="AB42" s="7"/>
      <c r="AC42" s="57" t="s">
        <v>97</v>
      </c>
      <c r="AD42" s="108"/>
      <c r="AE42" s="186"/>
      <c r="AF42" s="186"/>
      <c r="AG42" s="186"/>
      <c r="AH42" s="186"/>
      <c r="AI42" s="186"/>
      <c r="AJ42" s="186"/>
      <c r="AK42" s="186"/>
      <c r="AL42" s="186"/>
      <c r="AM42" s="186"/>
      <c r="AN42" s="186"/>
      <c r="AO42" s="186"/>
      <c r="AP42" s="186"/>
      <c r="AQ42" s="186"/>
      <c r="AR42" s="186"/>
      <c r="AS42" s="186"/>
      <c r="AT42" s="186"/>
      <c r="AU42" s="186"/>
      <c r="AV42" s="186"/>
      <c r="AW42" s="186"/>
      <c r="AX42" s="186"/>
    </row>
    <row r="43" spans="2:50" x14ac:dyDescent="0.25">
      <c r="B43" s="145"/>
      <c r="C43" s="9" t="s">
        <v>98</v>
      </c>
      <c r="D43" s="8" t="s">
        <v>620</v>
      </c>
      <c r="E43" s="8" t="s">
        <v>146</v>
      </c>
      <c r="F43" s="8" t="s">
        <v>154</v>
      </c>
      <c r="G43" s="8" t="s">
        <v>154</v>
      </c>
      <c r="H43" s="8" t="s">
        <v>154</v>
      </c>
      <c r="I43" s="8" t="s">
        <v>154</v>
      </c>
      <c r="J43" s="8" t="s">
        <v>154</v>
      </c>
      <c r="K43" s="8" t="s">
        <v>152</v>
      </c>
      <c r="L43" s="8" t="s">
        <v>144</v>
      </c>
      <c r="M43" s="8" t="s">
        <v>146</v>
      </c>
      <c r="N43" s="8" t="s">
        <v>146</v>
      </c>
      <c r="O43" s="8" t="s">
        <v>144</v>
      </c>
      <c r="P43" s="8" t="s">
        <v>145</v>
      </c>
      <c r="Q43" s="8" t="s">
        <v>144</v>
      </c>
      <c r="R43" s="8" t="s">
        <v>137</v>
      </c>
      <c r="S43" s="8" t="s">
        <v>137</v>
      </c>
      <c r="T43" s="8" t="s">
        <v>137</v>
      </c>
      <c r="U43" s="8" t="s">
        <v>137</v>
      </c>
      <c r="V43" s="8" t="s">
        <v>137</v>
      </c>
      <c r="W43" s="8" t="s">
        <v>137</v>
      </c>
      <c r="X43" s="8" t="s">
        <v>137</v>
      </c>
      <c r="Y43" s="8" t="s">
        <v>137</v>
      </c>
      <c r="Z43" s="135" t="s">
        <v>142</v>
      </c>
      <c r="AA43" s="215"/>
      <c r="AB43" s="7"/>
      <c r="AC43" s="57" t="s">
        <v>98</v>
      </c>
      <c r="AD43" s="108"/>
      <c r="AE43" s="186"/>
      <c r="AF43" s="186"/>
      <c r="AG43" s="186"/>
      <c r="AH43" s="186"/>
      <c r="AI43" s="186"/>
      <c r="AJ43" s="186"/>
      <c r="AK43" s="186"/>
      <c r="AL43" s="186"/>
      <c r="AM43" s="186"/>
      <c r="AN43" s="186"/>
      <c r="AO43" s="186"/>
      <c r="AP43" s="186"/>
      <c r="AQ43" s="186"/>
      <c r="AR43" s="186"/>
      <c r="AS43" s="186"/>
      <c r="AT43" s="186"/>
      <c r="AU43" s="186"/>
      <c r="AV43" s="186"/>
      <c r="AW43" s="186"/>
      <c r="AX43" s="186"/>
    </row>
    <row r="44" spans="2:50" x14ac:dyDescent="0.25">
      <c r="B44" s="145"/>
      <c r="C44" s="9" t="s">
        <v>99</v>
      </c>
      <c r="D44" s="8" t="s">
        <v>167</v>
      </c>
      <c r="E44" s="8" t="s">
        <v>154</v>
      </c>
      <c r="F44" s="8" t="s">
        <v>154</v>
      </c>
      <c r="G44" s="8" t="s">
        <v>154</v>
      </c>
      <c r="H44" s="8" t="s">
        <v>154</v>
      </c>
      <c r="I44" s="8" t="s">
        <v>154</v>
      </c>
      <c r="J44" s="8" t="s">
        <v>154</v>
      </c>
      <c r="K44" s="8" t="s">
        <v>154</v>
      </c>
      <c r="L44" s="8" t="s">
        <v>154</v>
      </c>
      <c r="M44" s="8" t="s">
        <v>154</v>
      </c>
      <c r="N44" s="8" t="s">
        <v>154</v>
      </c>
      <c r="O44" s="8" t="s">
        <v>154</v>
      </c>
      <c r="P44" s="8" t="s">
        <v>153</v>
      </c>
      <c r="Q44" s="8" t="s">
        <v>154</v>
      </c>
      <c r="R44" s="8" t="s">
        <v>146</v>
      </c>
      <c r="S44" s="8" t="s">
        <v>146</v>
      </c>
      <c r="T44" s="8" t="s">
        <v>146</v>
      </c>
      <c r="U44" s="8" t="s">
        <v>146</v>
      </c>
      <c r="V44" s="8" t="s">
        <v>146</v>
      </c>
      <c r="W44" s="8" t="s">
        <v>146</v>
      </c>
      <c r="X44" s="8" t="s">
        <v>146</v>
      </c>
      <c r="Y44" s="8" t="s">
        <v>146</v>
      </c>
      <c r="Z44" s="135" t="s">
        <v>144</v>
      </c>
      <c r="AA44" s="215"/>
      <c r="AB44" s="7"/>
      <c r="AC44" s="57" t="s">
        <v>99</v>
      </c>
      <c r="AD44" s="108"/>
      <c r="AE44" s="186"/>
      <c r="AF44" s="186"/>
      <c r="AG44" s="186"/>
      <c r="AH44" s="186"/>
      <c r="AI44" s="186"/>
      <c r="AJ44" s="186"/>
      <c r="AK44" s="186"/>
      <c r="AL44" s="186"/>
      <c r="AM44" s="186"/>
      <c r="AN44" s="186"/>
      <c r="AO44" s="186"/>
      <c r="AP44" s="186"/>
      <c r="AQ44" s="186"/>
      <c r="AR44" s="186"/>
      <c r="AS44" s="186"/>
      <c r="AT44" s="186"/>
      <c r="AU44" s="186"/>
      <c r="AV44" s="186"/>
      <c r="AW44" s="186"/>
      <c r="AX44" s="186"/>
    </row>
    <row r="45" spans="2:50" x14ac:dyDescent="0.25">
      <c r="B45" s="145"/>
      <c r="C45" s="9" t="s">
        <v>100</v>
      </c>
      <c r="D45" s="8" t="s">
        <v>620</v>
      </c>
      <c r="E45" s="8" t="s">
        <v>154</v>
      </c>
      <c r="F45" s="8" t="s">
        <v>154</v>
      </c>
      <c r="G45" s="8" t="s">
        <v>154</v>
      </c>
      <c r="H45" s="8" t="s">
        <v>154</v>
      </c>
      <c r="I45" s="8" t="s">
        <v>154</v>
      </c>
      <c r="J45" s="8" t="s">
        <v>154</v>
      </c>
      <c r="K45" s="8" t="s">
        <v>154</v>
      </c>
      <c r="L45" s="8" t="s">
        <v>154</v>
      </c>
      <c r="M45" s="8" t="s">
        <v>154</v>
      </c>
      <c r="N45" s="8" t="s">
        <v>154</v>
      </c>
      <c r="O45" s="8" t="s">
        <v>154</v>
      </c>
      <c r="P45" s="8" t="s">
        <v>154</v>
      </c>
      <c r="Q45" s="8" t="s">
        <v>154</v>
      </c>
      <c r="R45" s="8" t="s">
        <v>152</v>
      </c>
      <c r="S45" s="8" t="s">
        <v>152</v>
      </c>
      <c r="T45" s="8" t="s">
        <v>152</v>
      </c>
      <c r="U45" s="8" t="s">
        <v>152</v>
      </c>
      <c r="V45" s="8" t="s">
        <v>152</v>
      </c>
      <c r="W45" s="8" t="s">
        <v>152</v>
      </c>
      <c r="X45" s="8" t="s">
        <v>152</v>
      </c>
      <c r="Y45" s="8" t="s">
        <v>152</v>
      </c>
      <c r="Z45" s="135" t="s">
        <v>147</v>
      </c>
      <c r="AA45" s="215"/>
      <c r="AB45" s="7"/>
      <c r="AC45" s="57" t="s">
        <v>100</v>
      </c>
      <c r="AD45" s="108"/>
      <c r="AE45" s="186"/>
      <c r="AF45" s="186"/>
      <c r="AG45" s="186"/>
      <c r="AH45" s="186"/>
      <c r="AI45" s="186"/>
      <c r="AJ45" s="186"/>
      <c r="AK45" s="186"/>
      <c r="AL45" s="186"/>
      <c r="AM45" s="186"/>
      <c r="AN45" s="186"/>
      <c r="AO45" s="186"/>
      <c r="AP45" s="186"/>
      <c r="AQ45" s="186"/>
      <c r="AR45" s="186"/>
      <c r="AS45" s="186"/>
      <c r="AT45" s="186"/>
      <c r="AU45" s="186"/>
      <c r="AV45" s="186"/>
      <c r="AW45" s="186"/>
      <c r="AX45" s="186"/>
    </row>
    <row r="46" spans="2:50" x14ac:dyDescent="0.25">
      <c r="B46" s="145" t="s">
        <v>110</v>
      </c>
      <c r="C46" s="9"/>
      <c r="D46" s="8"/>
      <c r="E46" s="8"/>
      <c r="F46" s="8"/>
      <c r="G46" s="8"/>
      <c r="H46" s="8"/>
      <c r="I46" s="8"/>
      <c r="J46" s="8"/>
      <c r="K46" s="8"/>
      <c r="L46" s="8"/>
      <c r="M46" s="8"/>
      <c r="N46" s="8"/>
      <c r="O46" s="8"/>
      <c r="P46" s="8"/>
      <c r="Q46" s="8"/>
      <c r="R46" s="8"/>
      <c r="S46" s="8"/>
      <c r="T46" s="8"/>
      <c r="U46" s="8"/>
      <c r="V46" s="8"/>
      <c r="W46" s="8"/>
      <c r="X46" s="8"/>
      <c r="Y46" s="8"/>
      <c r="Z46" s="135"/>
      <c r="AA46" s="215"/>
      <c r="AB46" s="7" t="s">
        <v>110</v>
      </c>
      <c r="AC46" s="57"/>
      <c r="AD46" s="108"/>
      <c r="AE46" s="186"/>
      <c r="AF46" s="186"/>
      <c r="AG46" s="186"/>
      <c r="AH46" s="186"/>
      <c r="AI46" s="186"/>
      <c r="AJ46" s="186"/>
      <c r="AK46" s="186"/>
      <c r="AL46" s="186"/>
      <c r="AM46" s="186"/>
      <c r="AN46" s="186"/>
      <c r="AO46" s="186"/>
      <c r="AP46" s="186"/>
      <c r="AQ46" s="186"/>
      <c r="AR46" s="186"/>
      <c r="AS46" s="186"/>
      <c r="AT46" s="186"/>
      <c r="AU46" s="186"/>
      <c r="AV46" s="186"/>
      <c r="AW46" s="186"/>
      <c r="AX46" s="186"/>
    </row>
    <row r="47" spans="2:50" x14ac:dyDescent="0.25">
      <c r="B47" s="145"/>
      <c r="C47" s="9" t="s">
        <v>101</v>
      </c>
      <c r="D47" s="8" t="s">
        <v>160</v>
      </c>
      <c r="E47" s="8" t="s">
        <v>145</v>
      </c>
      <c r="F47" s="8" t="s">
        <v>139</v>
      </c>
      <c r="G47" s="8" t="s">
        <v>138</v>
      </c>
      <c r="H47" s="8" t="s">
        <v>142</v>
      </c>
      <c r="I47" s="8" t="s">
        <v>137</v>
      </c>
      <c r="J47" s="8" t="s">
        <v>145</v>
      </c>
      <c r="K47" s="8" t="s">
        <v>146</v>
      </c>
      <c r="L47" s="8" t="s">
        <v>145</v>
      </c>
      <c r="M47" s="8" t="s">
        <v>146</v>
      </c>
      <c r="N47" s="8" t="s">
        <v>145</v>
      </c>
      <c r="O47" s="8" t="s">
        <v>137</v>
      </c>
      <c r="P47" s="8" t="s">
        <v>147</v>
      </c>
      <c r="Q47" s="8" t="s">
        <v>138</v>
      </c>
      <c r="R47" s="8" t="s">
        <v>147</v>
      </c>
      <c r="S47" s="8" t="s">
        <v>147</v>
      </c>
      <c r="T47" s="8" t="s">
        <v>147</v>
      </c>
      <c r="U47" s="8" t="s">
        <v>147</v>
      </c>
      <c r="V47" s="8" t="s">
        <v>147</v>
      </c>
      <c r="W47" s="8" t="s">
        <v>147</v>
      </c>
      <c r="X47" s="8" t="s">
        <v>147</v>
      </c>
      <c r="Y47" s="8" t="s">
        <v>145</v>
      </c>
      <c r="Z47" s="135" t="s">
        <v>147</v>
      </c>
      <c r="AA47" s="215"/>
      <c r="AB47" s="7"/>
      <c r="AC47" s="57" t="s">
        <v>101</v>
      </c>
      <c r="AD47" s="108"/>
      <c r="AE47" s="186"/>
      <c r="AF47" s="186"/>
      <c r="AG47" s="186"/>
      <c r="AH47" s="186"/>
      <c r="AI47" s="186"/>
      <c r="AJ47" s="186"/>
      <c r="AK47" s="186"/>
      <c r="AL47" s="186"/>
      <c r="AM47" s="186"/>
      <c r="AN47" s="186"/>
      <c r="AO47" s="186"/>
      <c r="AP47" s="186"/>
      <c r="AQ47" s="186"/>
      <c r="AR47" s="186"/>
      <c r="AS47" s="186"/>
      <c r="AT47" s="186"/>
      <c r="AU47" s="186"/>
      <c r="AV47" s="186"/>
      <c r="AW47" s="186"/>
      <c r="AX47" s="186"/>
    </row>
    <row r="48" spans="2:50" x14ac:dyDescent="0.25">
      <c r="B48" s="145"/>
      <c r="C48" s="9" t="s">
        <v>102</v>
      </c>
      <c r="D48" s="8" t="s">
        <v>168</v>
      </c>
      <c r="E48" s="8" t="s">
        <v>138</v>
      </c>
      <c r="F48" s="8" t="s">
        <v>137</v>
      </c>
      <c r="G48" s="8" t="s">
        <v>137</v>
      </c>
      <c r="H48" s="8" t="s">
        <v>141</v>
      </c>
      <c r="I48" s="8" t="s">
        <v>142</v>
      </c>
      <c r="J48" s="8" t="s">
        <v>138</v>
      </c>
      <c r="K48" s="8" t="s">
        <v>144</v>
      </c>
      <c r="L48" s="8" t="s">
        <v>137</v>
      </c>
      <c r="M48" s="8" t="s">
        <v>145</v>
      </c>
      <c r="N48" s="8" t="s">
        <v>138</v>
      </c>
      <c r="O48" s="8" t="s">
        <v>142</v>
      </c>
      <c r="P48" s="8" t="s">
        <v>145</v>
      </c>
      <c r="Q48" s="8" t="s">
        <v>137</v>
      </c>
      <c r="R48" s="8" t="s">
        <v>146</v>
      </c>
      <c r="S48" s="8" t="s">
        <v>145</v>
      </c>
      <c r="T48" s="8" t="s">
        <v>146</v>
      </c>
      <c r="U48" s="8" t="s">
        <v>145</v>
      </c>
      <c r="V48" s="8" t="s">
        <v>146</v>
      </c>
      <c r="W48" s="8" t="s">
        <v>146</v>
      </c>
      <c r="X48" s="8" t="s">
        <v>146</v>
      </c>
      <c r="Y48" s="8" t="s">
        <v>138</v>
      </c>
      <c r="Z48" s="135" t="s">
        <v>146</v>
      </c>
      <c r="AA48" s="215"/>
      <c r="AB48" s="7"/>
      <c r="AC48" s="57" t="s">
        <v>102</v>
      </c>
      <c r="AD48" s="9"/>
      <c r="AE48" s="147"/>
      <c r="AF48" s="147"/>
      <c r="AG48" s="147"/>
      <c r="AH48" s="147"/>
      <c r="AI48" s="147"/>
      <c r="AJ48" s="147"/>
      <c r="AK48" s="147"/>
      <c r="AL48" s="147"/>
      <c r="AM48" s="147"/>
      <c r="AN48" s="147"/>
      <c r="AO48" s="147"/>
      <c r="AP48" s="147"/>
      <c r="AQ48" s="147"/>
      <c r="AR48" s="147"/>
      <c r="AS48" s="147"/>
      <c r="AT48" s="147"/>
      <c r="AU48" s="147"/>
      <c r="AV48" s="147"/>
      <c r="AW48" s="147"/>
      <c r="AX48" s="147"/>
    </row>
    <row r="49" spans="2:50" x14ac:dyDescent="0.25">
      <c r="B49" s="145"/>
      <c r="C49" s="9" t="s">
        <v>103</v>
      </c>
      <c r="D49" s="8" t="s">
        <v>169</v>
      </c>
      <c r="E49" s="8" t="s">
        <v>137</v>
      </c>
      <c r="F49" s="8" t="s">
        <v>142</v>
      </c>
      <c r="G49" s="8" t="s">
        <v>142</v>
      </c>
      <c r="H49" s="8" t="s">
        <v>140</v>
      </c>
      <c r="I49" s="8" t="s">
        <v>141</v>
      </c>
      <c r="J49" s="8" t="s">
        <v>137</v>
      </c>
      <c r="K49" s="8" t="s">
        <v>138</v>
      </c>
      <c r="L49" s="8" t="s">
        <v>145</v>
      </c>
      <c r="M49" s="8" t="s">
        <v>145</v>
      </c>
      <c r="N49" s="8" t="s">
        <v>138</v>
      </c>
      <c r="O49" s="8" t="s">
        <v>142</v>
      </c>
      <c r="P49" s="8" t="s">
        <v>139</v>
      </c>
      <c r="Q49" s="8" t="s">
        <v>141</v>
      </c>
      <c r="R49" s="8" t="s">
        <v>145</v>
      </c>
      <c r="S49" s="8" t="s">
        <v>145</v>
      </c>
      <c r="T49" s="8" t="s">
        <v>145</v>
      </c>
      <c r="U49" s="8" t="s">
        <v>141</v>
      </c>
      <c r="V49" s="8" t="s">
        <v>145</v>
      </c>
      <c r="W49" s="8" t="s">
        <v>145</v>
      </c>
      <c r="X49" s="8" t="s">
        <v>145</v>
      </c>
      <c r="Y49" s="8" t="s">
        <v>137</v>
      </c>
      <c r="Z49" s="135" t="s">
        <v>145</v>
      </c>
      <c r="AA49" s="215"/>
      <c r="AB49" s="7"/>
      <c r="AC49" s="57" t="s">
        <v>103</v>
      </c>
      <c r="AD49" s="9"/>
      <c r="AE49" s="147"/>
      <c r="AF49" s="147"/>
      <c r="AG49" s="147"/>
      <c r="AH49" s="147"/>
      <c r="AI49" s="147"/>
      <c r="AJ49" s="147"/>
      <c r="AK49" s="147"/>
      <c r="AL49" s="147"/>
      <c r="AM49" s="147"/>
      <c r="AN49" s="147"/>
      <c r="AO49" s="147"/>
      <c r="AP49" s="147"/>
      <c r="AQ49" s="147"/>
      <c r="AR49" s="147"/>
      <c r="AS49" s="147"/>
      <c r="AT49" s="147"/>
      <c r="AU49" s="147"/>
      <c r="AV49" s="147"/>
      <c r="AW49" s="147"/>
      <c r="AX49" s="147"/>
    </row>
    <row r="50" spans="2:50" x14ac:dyDescent="0.25">
      <c r="B50" s="145" t="s">
        <v>67</v>
      </c>
      <c r="C50" s="9"/>
      <c r="D50" s="8"/>
      <c r="E50" s="8"/>
      <c r="F50" s="8"/>
      <c r="G50" s="8"/>
      <c r="H50" s="8"/>
      <c r="I50" s="8"/>
      <c r="J50" s="8"/>
      <c r="K50" s="8"/>
      <c r="L50" s="8"/>
      <c r="M50" s="8"/>
      <c r="N50" s="8"/>
      <c r="O50" s="8"/>
      <c r="P50" s="8"/>
      <c r="Q50" s="8"/>
      <c r="R50" s="8"/>
      <c r="S50" s="8"/>
      <c r="T50" s="8"/>
      <c r="U50" s="8"/>
      <c r="V50" s="8"/>
      <c r="W50" s="8"/>
      <c r="X50" s="8"/>
      <c r="Y50" s="8"/>
      <c r="Z50" s="135"/>
      <c r="AA50" s="215"/>
      <c r="AB50" s="7" t="s">
        <v>67</v>
      </c>
      <c r="AC50" s="57"/>
    </row>
    <row r="51" spans="2:50" x14ac:dyDescent="0.25">
      <c r="B51" s="145"/>
      <c r="C51" s="9" t="s">
        <v>104</v>
      </c>
      <c r="D51" s="8" t="s">
        <v>143</v>
      </c>
      <c r="E51" s="8" t="s">
        <v>139</v>
      </c>
      <c r="F51" s="8" t="s">
        <v>138</v>
      </c>
      <c r="G51" s="8" t="s">
        <v>139</v>
      </c>
      <c r="H51" s="8" t="s">
        <v>139</v>
      </c>
      <c r="I51" s="8" t="s">
        <v>138</v>
      </c>
      <c r="J51" s="8" t="s">
        <v>137</v>
      </c>
      <c r="K51" s="8" t="s">
        <v>142</v>
      </c>
      <c r="L51" s="8" t="s">
        <v>145</v>
      </c>
      <c r="M51" s="8" t="s">
        <v>145</v>
      </c>
      <c r="N51" s="8" t="s">
        <v>139</v>
      </c>
      <c r="O51" s="8" t="s">
        <v>138</v>
      </c>
      <c r="P51" s="8" t="s">
        <v>139</v>
      </c>
      <c r="Q51" s="8" t="s">
        <v>139</v>
      </c>
      <c r="R51" s="8" t="s">
        <v>137</v>
      </c>
      <c r="S51" s="8" t="s">
        <v>138</v>
      </c>
      <c r="T51" s="8" t="s">
        <v>139</v>
      </c>
      <c r="U51" s="8" t="s">
        <v>137</v>
      </c>
      <c r="V51" s="8" t="s">
        <v>138</v>
      </c>
      <c r="W51" s="8" t="s">
        <v>137</v>
      </c>
      <c r="X51" s="8" t="s">
        <v>139</v>
      </c>
      <c r="Y51" s="8" t="s">
        <v>137</v>
      </c>
      <c r="Z51" s="135" t="s">
        <v>137</v>
      </c>
      <c r="AA51" s="215"/>
      <c r="AB51" s="7"/>
      <c r="AC51" s="57" t="s">
        <v>104</v>
      </c>
    </row>
    <row r="52" spans="2:50" x14ac:dyDescent="0.25">
      <c r="B52" s="145"/>
      <c r="C52" s="9" t="s">
        <v>105</v>
      </c>
      <c r="D52" s="8" t="s">
        <v>170</v>
      </c>
      <c r="E52" s="8" t="s">
        <v>139</v>
      </c>
      <c r="F52" s="8" t="s">
        <v>137</v>
      </c>
      <c r="G52" s="8" t="s">
        <v>139</v>
      </c>
      <c r="H52" s="8" t="s">
        <v>139</v>
      </c>
      <c r="I52" s="8" t="s">
        <v>139</v>
      </c>
      <c r="J52" s="8" t="s">
        <v>140</v>
      </c>
      <c r="K52" s="8" t="s">
        <v>137</v>
      </c>
      <c r="L52" s="8" t="s">
        <v>139</v>
      </c>
      <c r="M52" s="8" t="s">
        <v>137</v>
      </c>
      <c r="N52" s="8" t="s">
        <v>138</v>
      </c>
      <c r="O52" s="8" t="s">
        <v>138</v>
      </c>
      <c r="P52" s="8" t="s">
        <v>139</v>
      </c>
      <c r="Q52" s="8" t="s">
        <v>139</v>
      </c>
      <c r="R52" s="8" t="s">
        <v>145</v>
      </c>
      <c r="S52" s="8" t="s">
        <v>138</v>
      </c>
      <c r="T52" s="8" t="s">
        <v>138</v>
      </c>
      <c r="U52" s="8" t="s">
        <v>138</v>
      </c>
      <c r="V52" s="8" t="s">
        <v>138</v>
      </c>
      <c r="W52" s="8" t="s">
        <v>137</v>
      </c>
      <c r="X52" s="8" t="s">
        <v>139</v>
      </c>
      <c r="Y52" s="8" t="s">
        <v>138</v>
      </c>
      <c r="Z52" s="135" t="s">
        <v>139</v>
      </c>
      <c r="AA52" s="215"/>
      <c r="AB52" s="7"/>
      <c r="AC52" s="57" t="s">
        <v>105</v>
      </c>
    </row>
    <row r="53" spans="2:50" x14ac:dyDescent="0.25">
      <c r="B53" s="145"/>
      <c r="C53" s="9" t="s">
        <v>106</v>
      </c>
      <c r="D53" s="8" t="s">
        <v>171</v>
      </c>
      <c r="E53" s="8" t="s">
        <v>138</v>
      </c>
      <c r="F53" s="8" t="s">
        <v>145</v>
      </c>
      <c r="G53" s="8" t="s">
        <v>138</v>
      </c>
      <c r="H53" s="8" t="s">
        <v>141</v>
      </c>
      <c r="I53" s="8" t="s">
        <v>139</v>
      </c>
      <c r="J53" s="8" t="s">
        <v>142</v>
      </c>
      <c r="K53" s="8" t="s">
        <v>139</v>
      </c>
      <c r="L53" s="8" t="s">
        <v>144</v>
      </c>
      <c r="M53" s="8" t="s">
        <v>144</v>
      </c>
      <c r="N53" s="8" t="s">
        <v>145</v>
      </c>
      <c r="O53" s="8" t="s">
        <v>145</v>
      </c>
      <c r="P53" s="8" t="s">
        <v>138</v>
      </c>
      <c r="Q53" s="8" t="s">
        <v>137</v>
      </c>
      <c r="R53" s="8" t="s">
        <v>144</v>
      </c>
      <c r="S53" s="8" t="s">
        <v>145</v>
      </c>
      <c r="T53" s="8" t="s">
        <v>145</v>
      </c>
      <c r="U53" s="8" t="s">
        <v>144</v>
      </c>
      <c r="V53" s="8" t="s">
        <v>145</v>
      </c>
      <c r="W53" s="8" t="s">
        <v>145</v>
      </c>
      <c r="X53" s="8" t="s">
        <v>145</v>
      </c>
      <c r="Y53" s="8" t="s">
        <v>138</v>
      </c>
      <c r="Z53" s="135" t="s">
        <v>138</v>
      </c>
      <c r="AA53" s="215"/>
      <c r="AB53" s="7"/>
      <c r="AC53" s="57" t="s">
        <v>106</v>
      </c>
    </row>
    <row r="54" spans="2:50" x14ac:dyDescent="0.25">
      <c r="B54" s="145"/>
      <c r="C54" s="9" t="s">
        <v>107</v>
      </c>
      <c r="D54" s="8" t="s">
        <v>162</v>
      </c>
      <c r="E54" s="8" t="s">
        <v>139</v>
      </c>
      <c r="F54" s="8" t="s">
        <v>139</v>
      </c>
      <c r="G54" s="8" t="s">
        <v>139</v>
      </c>
      <c r="H54" s="8" t="s">
        <v>139</v>
      </c>
      <c r="I54" s="8" t="s">
        <v>139</v>
      </c>
      <c r="J54" s="8" t="s">
        <v>137</v>
      </c>
      <c r="K54" s="8" t="s">
        <v>141</v>
      </c>
      <c r="L54" s="8" t="s">
        <v>145</v>
      </c>
      <c r="M54" s="8" t="s">
        <v>145</v>
      </c>
      <c r="N54" s="8" t="s">
        <v>139</v>
      </c>
      <c r="O54" s="8" t="s">
        <v>139</v>
      </c>
      <c r="P54" s="8" t="s">
        <v>139</v>
      </c>
      <c r="Q54" s="8" t="s">
        <v>139</v>
      </c>
      <c r="R54" s="8" t="s">
        <v>137</v>
      </c>
      <c r="S54" s="8" t="s">
        <v>137</v>
      </c>
      <c r="T54" s="8" t="s">
        <v>138</v>
      </c>
      <c r="U54" s="8" t="s">
        <v>145</v>
      </c>
      <c r="V54" s="8" t="s">
        <v>138</v>
      </c>
      <c r="W54" s="8" t="s">
        <v>141</v>
      </c>
      <c r="X54" s="8" t="s">
        <v>141</v>
      </c>
      <c r="Y54" s="8" t="s">
        <v>137</v>
      </c>
      <c r="Z54" s="135" t="s">
        <v>139</v>
      </c>
      <c r="AA54" s="215"/>
      <c r="AB54" s="7"/>
      <c r="AC54" s="57" t="s">
        <v>107</v>
      </c>
    </row>
    <row r="55" spans="2:50" x14ac:dyDescent="0.25">
      <c r="B55" s="145"/>
      <c r="C55" s="9" t="s">
        <v>108</v>
      </c>
      <c r="D55" s="8" t="s">
        <v>172</v>
      </c>
      <c r="E55" s="8" t="s">
        <v>139</v>
      </c>
      <c r="F55" s="8" t="s">
        <v>138</v>
      </c>
      <c r="G55" s="8" t="s">
        <v>139</v>
      </c>
      <c r="H55" s="8" t="s">
        <v>139</v>
      </c>
      <c r="I55" s="8" t="s">
        <v>138</v>
      </c>
      <c r="J55" s="8" t="s">
        <v>137</v>
      </c>
      <c r="K55" s="8" t="s">
        <v>142</v>
      </c>
      <c r="L55" s="8" t="s">
        <v>145</v>
      </c>
      <c r="M55" s="8" t="s">
        <v>145</v>
      </c>
      <c r="N55" s="8" t="s">
        <v>138</v>
      </c>
      <c r="O55" s="8" t="s">
        <v>138</v>
      </c>
      <c r="P55" s="8" t="s">
        <v>141</v>
      </c>
      <c r="Q55" s="8" t="s">
        <v>139</v>
      </c>
      <c r="R55" s="8" t="s">
        <v>142</v>
      </c>
      <c r="S55" s="8" t="s">
        <v>138</v>
      </c>
      <c r="T55" s="8" t="s">
        <v>139</v>
      </c>
      <c r="U55" s="8" t="s">
        <v>142</v>
      </c>
      <c r="V55" s="8" t="s">
        <v>138</v>
      </c>
      <c r="W55" s="8" t="s">
        <v>138</v>
      </c>
      <c r="X55" s="8" t="s">
        <v>138</v>
      </c>
      <c r="Y55" s="8" t="s">
        <v>137</v>
      </c>
      <c r="Z55" s="135" t="s">
        <v>137</v>
      </c>
      <c r="AA55" s="215"/>
      <c r="AB55" s="7"/>
      <c r="AC55" s="57" t="s">
        <v>108</v>
      </c>
    </row>
    <row r="56" spans="2:50" ht="15.75" thickBot="1" x14ac:dyDescent="0.3">
      <c r="B56" s="16"/>
      <c r="C56" s="17" t="s">
        <v>109</v>
      </c>
      <c r="D56" s="18" t="s">
        <v>173</v>
      </c>
      <c r="E56" s="18" t="s">
        <v>137</v>
      </c>
      <c r="F56" s="18" t="s">
        <v>137</v>
      </c>
      <c r="G56" s="18" t="s">
        <v>137</v>
      </c>
      <c r="H56" s="18" t="s">
        <v>137</v>
      </c>
      <c r="I56" s="18" t="s">
        <v>137</v>
      </c>
      <c r="J56" s="18" t="s">
        <v>140</v>
      </c>
      <c r="K56" s="18" t="s">
        <v>141</v>
      </c>
      <c r="L56" s="18" t="s">
        <v>138</v>
      </c>
      <c r="M56" s="18" t="s">
        <v>139</v>
      </c>
      <c r="N56" s="18" t="s">
        <v>137</v>
      </c>
      <c r="O56" s="18" t="s">
        <v>139</v>
      </c>
      <c r="P56" s="18" t="s">
        <v>137</v>
      </c>
      <c r="Q56" s="18" t="s">
        <v>137</v>
      </c>
      <c r="R56" s="18" t="s">
        <v>138</v>
      </c>
      <c r="S56" s="18" t="s">
        <v>139</v>
      </c>
      <c r="T56" s="18" t="s">
        <v>139</v>
      </c>
      <c r="U56" s="18" t="s">
        <v>138</v>
      </c>
      <c r="V56" s="18" t="s">
        <v>139</v>
      </c>
      <c r="W56" s="18" t="s">
        <v>137</v>
      </c>
      <c r="X56" s="18" t="s">
        <v>137</v>
      </c>
      <c r="Y56" s="18" t="s">
        <v>137</v>
      </c>
      <c r="Z56" s="136" t="s">
        <v>137</v>
      </c>
      <c r="AA56" s="216"/>
      <c r="AB56" s="213"/>
      <c r="AC56" s="95" t="s">
        <v>109</v>
      </c>
    </row>
    <row r="57" spans="2:50" ht="15.75" thickBot="1" x14ac:dyDescent="0.3">
      <c r="B57" s="235" t="s">
        <v>195</v>
      </c>
      <c r="C57" s="236"/>
      <c r="D57" s="236"/>
      <c r="E57" s="236" t="str">
        <f t="shared" ref="E57:K57" si="0">IF(Realmchoice="","",Realmchoice)</f>
        <v>Essence</v>
      </c>
      <c r="F57" s="236" t="str">
        <f t="shared" si="0"/>
        <v>Essence</v>
      </c>
      <c r="G57" s="236" t="str">
        <f t="shared" si="0"/>
        <v>Essence</v>
      </c>
      <c r="H57" s="236" t="str">
        <f t="shared" si="0"/>
        <v>Essence</v>
      </c>
      <c r="I57" s="236" t="str">
        <f t="shared" si="0"/>
        <v>Essence</v>
      </c>
      <c r="J57" s="236" t="str">
        <f t="shared" si="0"/>
        <v>Essence</v>
      </c>
      <c r="K57" s="236" t="str">
        <f t="shared" si="0"/>
        <v>Essence</v>
      </c>
      <c r="L57" s="236" t="s">
        <v>37</v>
      </c>
      <c r="M57" s="236" t="s">
        <v>37</v>
      </c>
      <c r="N57" s="236" t="s">
        <v>39</v>
      </c>
      <c r="O57" s="236" t="s">
        <v>39</v>
      </c>
      <c r="P57" s="236" t="s">
        <v>38</v>
      </c>
      <c r="Q57" s="236" t="s">
        <v>38</v>
      </c>
      <c r="R57" s="236" t="s">
        <v>37</v>
      </c>
      <c r="S57" s="236" t="s">
        <v>37</v>
      </c>
      <c r="T57" s="236" t="s">
        <v>38</v>
      </c>
      <c r="U57" s="236" t="s">
        <v>38</v>
      </c>
      <c r="V57" s="236" t="s">
        <v>39</v>
      </c>
      <c r="W57" s="236" t="s">
        <v>39</v>
      </c>
      <c r="X57" s="236" t="s">
        <v>636</v>
      </c>
      <c r="Y57" s="236" t="s">
        <v>637</v>
      </c>
      <c r="Z57" s="236" t="s">
        <v>638</v>
      </c>
      <c r="AA57" s="236"/>
      <c r="AB57" s="236"/>
      <c r="AC57" s="130"/>
    </row>
    <row r="58" spans="2:50" ht="70.5" x14ac:dyDescent="0.25">
      <c r="B58" s="243"/>
      <c r="C58" s="244" t="s">
        <v>60</v>
      </c>
      <c r="D58" s="245" t="s">
        <v>639</v>
      </c>
      <c r="E58" s="246" t="s">
        <v>115</v>
      </c>
      <c r="F58" s="246" t="s">
        <v>116</v>
      </c>
      <c r="G58" s="246" t="s">
        <v>117</v>
      </c>
      <c r="H58" s="246" t="s">
        <v>118</v>
      </c>
      <c r="I58" s="246" t="s">
        <v>119</v>
      </c>
      <c r="J58" s="246" t="s">
        <v>120</v>
      </c>
      <c r="K58" s="246" t="s">
        <v>121</v>
      </c>
      <c r="L58" s="246" t="s">
        <v>122</v>
      </c>
      <c r="M58" s="246" t="s">
        <v>123</v>
      </c>
      <c r="N58" s="246" t="s">
        <v>124</v>
      </c>
      <c r="O58" s="246" t="s">
        <v>125</v>
      </c>
      <c r="P58" s="246" t="s">
        <v>126</v>
      </c>
      <c r="Q58" s="246" t="s">
        <v>127</v>
      </c>
      <c r="R58" s="246" t="s">
        <v>128</v>
      </c>
      <c r="S58" s="246" t="s">
        <v>129</v>
      </c>
      <c r="T58" s="246" t="s">
        <v>130</v>
      </c>
      <c r="U58" s="246" t="s">
        <v>131</v>
      </c>
      <c r="V58" s="246" t="s">
        <v>36</v>
      </c>
      <c r="W58" s="246" t="s">
        <v>132</v>
      </c>
      <c r="X58" s="246" t="s">
        <v>133</v>
      </c>
      <c r="Y58" s="246" t="s">
        <v>134</v>
      </c>
      <c r="Z58" s="247" t="s">
        <v>135</v>
      </c>
    </row>
    <row r="59" spans="2:50" x14ac:dyDescent="0.25">
      <c r="B59" s="248" t="s">
        <v>62</v>
      </c>
      <c r="C59" s="249"/>
      <c r="E59" s="329"/>
      <c r="F59" s="6"/>
      <c r="G59" s="6"/>
      <c r="H59" s="6"/>
      <c r="I59" s="6"/>
      <c r="J59" s="6"/>
      <c r="K59" s="6"/>
      <c r="L59" s="6"/>
      <c r="M59" s="6"/>
      <c r="N59" s="6"/>
      <c r="O59" s="6"/>
      <c r="P59" s="6"/>
      <c r="Q59" s="6"/>
      <c r="R59" s="6"/>
      <c r="S59" s="6"/>
      <c r="T59" s="6"/>
      <c r="U59" s="6"/>
      <c r="V59" s="6"/>
      <c r="W59" s="6"/>
      <c r="X59" s="6"/>
      <c r="Y59" s="6"/>
      <c r="Z59" s="250"/>
    </row>
    <row r="60" spans="2:50" x14ac:dyDescent="0.25">
      <c r="B60" s="248"/>
      <c r="C60" s="9" t="s">
        <v>68</v>
      </c>
      <c r="E60" s="330" t="str">
        <f>IF(Skills!DO5="x",1,"")</f>
        <v/>
      </c>
      <c r="F60" s="6"/>
      <c r="G60" s="6"/>
      <c r="H60" s="6"/>
      <c r="I60" s="6"/>
      <c r="J60" s="6"/>
      <c r="K60" s="6">
        <v>1</v>
      </c>
      <c r="L60" s="6"/>
      <c r="M60" s="6"/>
      <c r="N60" s="6"/>
      <c r="O60" s="6"/>
      <c r="P60" s="6">
        <v>1</v>
      </c>
      <c r="Q60" s="6"/>
      <c r="R60" s="6"/>
      <c r="S60" s="6"/>
      <c r="T60" s="6"/>
      <c r="U60" s="6"/>
      <c r="V60" s="6"/>
      <c r="W60" s="6"/>
      <c r="X60" s="6"/>
      <c r="Y60" s="6"/>
      <c r="Z60" s="239"/>
      <c r="AB60" s="328"/>
      <c r="AC60" s="328"/>
    </row>
    <row r="61" spans="2:50" x14ac:dyDescent="0.25">
      <c r="B61" s="248"/>
      <c r="C61" s="9" t="s">
        <v>69</v>
      </c>
      <c r="E61" s="330" t="str">
        <f>IF(Skills!DO10="x",1,"")</f>
        <v/>
      </c>
      <c r="F61" s="6"/>
      <c r="G61" s="6"/>
      <c r="H61" s="6"/>
      <c r="I61" s="6"/>
      <c r="J61" s="6"/>
      <c r="K61" s="6">
        <v>1</v>
      </c>
      <c r="L61" s="6"/>
      <c r="M61" s="6"/>
      <c r="N61" s="6">
        <v>1</v>
      </c>
      <c r="O61" s="6"/>
      <c r="P61" s="6">
        <v>1</v>
      </c>
      <c r="Q61" s="6"/>
      <c r="R61" s="6">
        <v>1</v>
      </c>
      <c r="S61" s="6">
        <v>1</v>
      </c>
      <c r="T61" s="6">
        <v>1</v>
      </c>
      <c r="U61" s="6"/>
      <c r="V61" s="6"/>
      <c r="W61" s="6"/>
      <c r="X61" s="6"/>
      <c r="Y61" s="6"/>
      <c r="Z61" s="239">
        <v>1</v>
      </c>
      <c r="AB61" s="328"/>
      <c r="AC61" s="328"/>
    </row>
    <row r="62" spans="2:50" x14ac:dyDescent="0.25">
      <c r="B62" s="248"/>
      <c r="C62" s="9" t="s">
        <v>70</v>
      </c>
      <c r="E62" s="330" t="str">
        <f>IF(Skills!DO15="x",1,"")</f>
        <v/>
      </c>
      <c r="F62" s="6"/>
      <c r="G62" s="6"/>
      <c r="H62" s="6"/>
      <c r="I62" s="6"/>
      <c r="J62" s="6"/>
      <c r="K62" s="6">
        <v>1</v>
      </c>
      <c r="L62" s="6"/>
      <c r="M62" s="6"/>
      <c r="N62" s="6"/>
      <c r="O62" s="6"/>
      <c r="P62" s="6"/>
      <c r="Q62" s="6"/>
      <c r="R62" s="6"/>
      <c r="S62" s="6"/>
      <c r="T62" s="6">
        <v>1</v>
      </c>
      <c r="U62" s="6"/>
      <c r="V62" s="6"/>
      <c r="W62" s="6"/>
      <c r="X62" s="6"/>
      <c r="Y62" s="6"/>
      <c r="Z62" s="239">
        <v>1</v>
      </c>
      <c r="AB62" s="328"/>
      <c r="AC62" s="328"/>
    </row>
    <row r="63" spans="2:50" x14ac:dyDescent="0.25">
      <c r="B63" s="248" t="s">
        <v>63</v>
      </c>
      <c r="C63" s="9"/>
      <c r="E63" s="330"/>
      <c r="F63" s="6"/>
      <c r="G63" s="6"/>
      <c r="H63" s="6"/>
      <c r="I63" s="6"/>
      <c r="J63" s="6"/>
      <c r="K63" s="6"/>
      <c r="L63" s="6"/>
      <c r="M63" s="6"/>
      <c r="N63" s="6"/>
      <c r="O63" s="6"/>
      <c r="P63" s="6"/>
      <c r="Q63" s="6"/>
      <c r="R63" s="6"/>
      <c r="S63" s="6"/>
      <c r="T63" s="6"/>
      <c r="U63" s="6"/>
      <c r="V63" s="6"/>
      <c r="W63" s="6"/>
      <c r="X63" s="6"/>
      <c r="Y63" s="6"/>
      <c r="Z63" s="239"/>
      <c r="AB63" s="328"/>
      <c r="AC63" s="328"/>
    </row>
    <row r="64" spans="2:50" x14ac:dyDescent="0.25">
      <c r="B64" s="248"/>
      <c r="C64" s="9" t="s">
        <v>71</v>
      </c>
      <c r="E64" s="330" t="str">
        <f>IF(Skills!DO19="x",1,"")</f>
        <v/>
      </c>
      <c r="F64" s="6">
        <v>1</v>
      </c>
      <c r="G64" s="6">
        <v>1</v>
      </c>
      <c r="H64" s="6"/>
      <c r="I64" s="6">
        <v>1</v>
      </c>
      <c r="J64" s="6">
        <v>1</v>
      </c>
      <c r="K64" s="6"/>
      <c r="L64" s="6">
        <v>1</v>
      </c>
      <c r="M64" s="6">
        <v>1</v>
      </c>
      <c r="N64" s="6">
        <v>1</v>
      </c>
      <c r="O64" s="6"/>
      <c r="P64" s="6"/>
      <c r="Q64" s="6"/>
      <c r="R64" s="6"/>
      <c r="S64" s="6"/>
      <c r="T64" s="6"/>
      <c r="U64" s="6"/>
      <c r="V64" s="6"/>
      <c r="W64" s="6"/>
      <c r="X64" s="6">
        <v>1</v>
      </c>
      <c r="Y64" s="6"/>
      <c r="Z64" s="239"/>
      <c r="AB64" s="328"/>
      <c r="AC64" s="328"/>
    </row>
    <row r="65" spans="2:29" x14ac:dyDescent="0.25">
      <c r="B65" s="248"/>
      <c r="C65" s="9" t="s">
        <v>72</v>
      </c>
      <c r="E65" s="330" t="str">
        <f>IF(Skills!DO20="x",1,"")</f>
        <v/>
      </c>
      <c r="F65" s="6"/>
      <c r="G65" s="6">
        <v>1</v>
      </c>
      <c r="H65" s="6">
        <v>1</v>
      </c>
      <c r="I65" s="6">
        <v>1</v>
      </c>
      <c r="J65" s="6"/>
      <c r="K65" s="6"/>
      <c r="L65" s="6"/>
      <c r="M65" s="6"/>
      <c r="N65" s="6">
        <v>1</v>
      </c>
      <c r="O65" s="6">
        <v>1</v>
      </c>
      <c r="P65" s="6"/>
      <c r="Q65" s="6">
        <v>1</v>
      </c>
      <c r="R65" s="6"/>
      <c r="S65" s="6"/>
      <c r="T65" s="6"/>
      <c r="U65" s="6"/>
      <c r="V65" s="6"/>
      <c r="W65" s="6"/>
      <c r="X65" s="6"/>
      <c r="Y65" s="6"/>
      <c r="Z65" s="239"/>
      <c r="AB65" s="328"/>
      <c r="AC65" s="328"/>
    </row>
    <row r="66" spans="2:29" x14ac:dyDescent="0.25">
      <c r="B66" s="248"/>
      <c r="C66" s="9" t="s">
        <v>27</v>
      </c>
      <c r="E66" s="330" t="str">
        <f>IF(Skills!DO24="x",1,"")</f>
        <v/>
      </c>
      <c r="F66" s="6">
        <v>1</v>
      </c>
      <c r="G66" s="6">
        <v>1</v>
      </c>
      <c r="H66" s="6">
        <v>1</v>
      </c>
      <c r="I66" s="6">
        <v>1</v>
      </c>
      <c r="J66" s="6">
        <v>1</v>
      </c>
      <c r="K66" s="6"/>
      <c r="L66" s="6"/>
      <c r="M66" s="6"/>
      <c r="N66" s="6">
        <v>1</v>
      </c>
      <c r="O66" s="6">
        <v>1</v>
      </c>
      <c r="P66" s="6"/>
      <c r="Q66" s="6"/>
      <c r="R66" s="6"/>
      <c r="S66" s="6"/>
      <c r="T66" s="6"/>
      <c r="U66" s="6"/>
      <c r="V66" s="6"/>
      <c r="W66" s="6"/>
      <c r="X66" s="6"/>
      <c r="Y66" s="6"/>
      <c r="Z66" s="239"/>
      <c r="AB66" s="328"/>
      <c r="AC66" s="328"/>
    </row>
    <row r="67" spans="2:29" x14ac:dyDescent="0.25">
      <c r="B67" s="248" t="s">
        <v>53</v>
      </c>
      <c r="C67" s="9"/>
      <c r="E67" s="330"/>
      <c r="F67" s="6"/>
      <c r="G67" s="6"/>
      <c r="H67" s="6"/>
      <c r="I67" s="6"/>
      <c r="J67" s="6"/>
      <c r="K67" s="6"/>
      <c r="L67" s="6"/>
      <c r="M67" s="6"/>
      <c r="N67" s="6"/>
      <c r="O67" s="6"/>
      <c r="P67" s="6"/>
      <c r="Q67" s="6"/>
      <c r="R67" s="6"/>
      <c r="S67" s="6"/>
      <c r="T67" s="6"/>
      <c r="U67" s="6"/>
      <c r="V67" s="6"/>
      <c r="W67" s="6"/>
      <c r="X67" s="6"/>
      <c r="Y67" s="6"/>
      <c r="Z67" s="239"/>
      <c r="AB67" s="328"/>
      <c r="AC67" s="328"/>
    </row>
    <row r="68" spans="2:29" x14ac:dyDescent="0.25">
      <c r="B68" s="248"/>
      <c r="C68" s="9" t="s">
        <v>73</v>
      </c>
      <c r="E68" s="330" t="str">
        <f>IF(Skills!DO29="x",1,"")</f>
        <v/>
      </c>
      <c r="F68" s="6">
        <v>1</v>
      </c>
      <c r="G68" s="6">
        <v>1</v>
      </c>
      <c r="H68" s="6"/>
      <c r="I68" s="6">
        <v>1</v>
      </c>
      <c r="J68" s="6"/>
      <c r="K68" s="6"/>
      <c r="L68" s="6"/>
      <c r="M68" s="6"/>
      <c r="N68" s="6"/>
      <c r="O68" s="6"/>
      <c r="P68" s="6"/>
      <c r="Q68" s="6"/>
      <c r="R68" s="6"/>
      <c r="S68" s="6"/>
      <c r="T68" s="6"/>
      <c r="U68" s="6"/>
      <c r="V68" s="6"/>
      <c r="W68" s="6"/>
      <c r="X68" s="6"/>
      <c r="Y68" s="6"/>
      <c r="Z68" s="239"/>
      <c r="AB68" s="328"/>
      <c r="AC68" s="328"/>
    </row>
    <row r="69" spans="2:29" x14ac:dyDescent="0.25">
      <c r="B69" s="248"/>
      <c r="C69" s="9" t="s">
        <v>74</v>
      </c>
      <c r="E69" s="330" t="str">
        <f>IF(Skills!DO35="x",1,"")</f>
        <v/>
      </c>
      <c r="F69" s="6">
        <v>1</v>
      </c>
      <c r="G69" s="6"/>
      <c r="H69" s="6"/>
      <c r="I69" s="6"/>
      <c r="J69" s="6"/>
      <c r="K69" s="6"/>
      <c r="L69" s="6"/>
      <c r="M69" s="6">
        <v>1</v>
      </c>
      <c r="N69" s="6"/>
      <c r="O69" s="6"/>
      <c r="P69" s="6"/>
      <c r="Q69" s="6"/>
      <c r="R69" s="6"/>
      <c r="S69" s="6"/>
      <c r="T69" s="6"/>
      <c r="U69" s="6"/>
      <c r="V69" s="6"/>
      <c r="W69" s="6"/>
      <c r="X69" s="6"/>
      <c r="Y69" s="6"/>
      <c r="Z69" s="239"/>
      <c r="AB69" s="328"/>
      <c r="AC69" s="328"/>
    </row>
    <row r="70" spans="2:29" x14ac:dyDescent="0.25">
      <c r="B70" s="248"/>
      <c r="C70" s="9" t="s">
        <v>75</v>
      </c>
      <c r="E70" s="330" t="str">
        <f>IF(Skills!DO36="x",1,"")</f>
        <v/>
      </c>
      <c r="F70" s="6">
        <v>1</v>
      </c>
      <c r="G70" s="6">
        <v>1</v>
      </c>
      <c r="H70" s="6">
        <v>1</v>
      </c>
      <c r="I70" s="6">
        <v>1</v>
      </c>
      <c r="J70" s="6"/>
      <c r="K70" s="6"/>
      <c r="L70" s="6">
        <v>1</v>
      </c>
      <c r="M70" s="6">
        <v>1</v>
      </c>
      <c r="N70" s="6">
        <v>1</v>
      </c>
      <c r="O70" s="6">
        <v>1</v>
      </c>
      <c r="P70" s="6">
        <v>1</v>
      </c>
      <c r="Q70" s="6"/>
      <c r="R70" s="6">
        <v>1</v>
      </c>
      <c r="S70" s="6"/>
      <c r="T70" s="6">
        <v>1</v>
      </c>
      <c r="U70" s="6"/>
      <c r="V70" s="6">
        <v>1</v>
      </c>
      <c r="W70" s="6"/>
      <c r="X70" s="6"/>
      <c r="Y70" s="6"/>
      <c r="Z70" s="239"/>
      <c r="AB70" s="328"/>
      <c r="AC70" s="328"/>
    </row>
    <row r="71" spans="2:29" x14ac:dyDescent="0.25">
      <c r="B71" s="248"/>
      <c r="C71" s="9" t="s">
        <v>76</v>
      </c>
      <c r="E71" s="330" t="str">
        <f>IF(Skills!DO36="x",1,"")</f>
        <v/>
      </c>
      <c r="F71" s="6">
        <v>1</v>
      </c>
      <c r="G71" s="6">
        <v>1</v>
      </c>
      <c r="H71" s="6">
        <v>1</v>
      </c>
      <c r="I71" s="6">
        <v>1</v>
      </c>
      <c r="J71" s="6"/>
      <c r="K71" s="6"/>
      <c r="L71" s="6">
        <v>1</v>
      </c>
      <c r="M71" s="6">
        <v>1</v>
      </c>
      <c r="N71" s="6">
        <v>1</v>
      </c>
      <c r="O71" s="6">
        <v>1</v>
      </c>
      <c r="P71" s="6">
        <v>1</v>
      </c>
      <c r="Q71" s="6"/>
      <c r="R71" s="6">
        <v>1</v>
      </c>
      <c r="S71" s="6"/>
      <c r="T71" s="6">
        <v>1</v>
      </c>
      <c r="U71" s="6"/>
      <c r="V71" s="6">
        <v>1</v>
      </c>
      <c r="W71" s="6"/>
      <c r="X71" s="6"/>
      <c r="Y71" s="6"/>
      <c r="Z71" s="239"/>
      <c r="AB71" s="328"/>
      <c r="AC71" s="328"/>
    </row>
    <row r="72" spans="2:29" x14ac:dyDescent="0.25">
      <c r="B72" s="248"/>
      <c r="C72" s="9" t="s">
        <v>77</v>
      </c>
      <c r="E72" s="330" t="str">
        <f>IF(Skills!DO36="x",1,"")</f>
        <v/>
      </c>
      <c r="F72" s="6">
        <v>1</v>
      </c>
      <c r="G72" s="6">
        <v>1</v>
      </c>
      <c r="H72" s="6">
        <v>1</v>
      </c>
      <c r="I72" s="6">
        <v>1</v>
      </c>
      <c r="J72" s="6"/>
      <c r="K72" s="6"/>
      <c r="L72" s="6">
        <v>1</v>
      </c>
      <c r="M72" s="6">
        <v>1</v>
      </c>
      <c r="N72" s="6">
        <v>1</v>
      </c>
      <c r="O72" s="6">
        <v>1</v>
      </c>
      <c r="P72" s="6">
        <v>1</v>
      </c>
      <c r="Q72" s="6"/>
      <c r="R72" s="6">
        <v>1</v>
      </c>
      <c r="S72" s="6"/>
      <c r="T72" s="6">
        <v>1</v>
      </c>
      <c r="U72" s="6"/>
      <c r="V72" s="6">
        <v>1</v>
      </c>
      <c r="W72" s="6"/>
      <c r="X72" s="6"/>
      <c r="Y72" s="6"/>
      <c r="Z72" s="239"/>
      <c r="AB72" s="328"/>
      <c r="AC72" s="328"/>
    </row>
    <row r="73" spans="2:29" x14ac:dyDescent="0.25">
      <c r="B73" s="248"/>
      <c r="C73" s="9" t="s">
        <v>78</v>
      </c>
      <c r="E73" s="330" t="str">
        <f>IF(Skills!DO36="x",1,"")</f>
        <v/>
      </c>
      <c r="F73" s="6">
        <v>1</v>
      </c>
      <c r="G73" s="6">
        <v>1</v>
      </c>
      <c r="H73" s="6">
        <v>1</v>
      </c>
      <c r="I73" s="6">
        <v>1</v>
      </c>
      <c r="J73" s="6"/>
      <c r="K73" s="6"/>
      <c r="L73" s="6">
        <v>1</v>
      </c>
      <c r="M73" s="6">
        <v>1</v>
      </c>
      <c r="N73" s="6">
        <v>1</v>
      </c>
      <c r="O73" s="6">
        <v>1</v>
      </c>
      <c r="P73" s="6">
        <v>1</v>
      </c>
      <c r="Q73" s="6"/>
      <c r="R73" s="6">
        <v>1</v>
      </c>
      <c r="S73" s="6"/>
      <c r="T73" s="6">
        <v>1</v>
      </c>
      <c r="U73" s="6"/>
      <c r="V73" s="6">
        <v>1</v>
      </c>
      <c r="W73" s="6"/>
      <c r="X73" s="6"/>
      <c r="Y73" s="6"/>
      <c r="Z73" s="239"/>
      <c r="AB73" s="328"/>
      <c r="AC73" s="328"/>
    </row>
    <row r="74" spans="2:29" x14ac:dyDescent="0.25">
      <c r="B74" s="248"/>
      <c r="C74" s="9" t="s">
        <v>79</v>
      </c>
      <c r="E74" s="330" t="str">
        <f>IF(Skills!DO36="x",1,"")</f>
        <v/>
      </c>
      <c r="F74" s="6">
        <v>1</v>
      </c>
      <c r="G74" s="6">
        <v>1</v>
      </c>
      <c r="H74" s="6">
        <v>1</v>
      </c>
      <c r="I74" s="6">
        <v>1</v>
      </c>
      <c r="J74" s="6"/>
      <c r="K74" s="6"/>
      <c r="L74" s="6">
        <v>1</v>
      </c>
      <c r="M74" s="6">
        <v>1</v>
      </c>
      <c r="N74" s="6">
        <v>1</v>
      </c>
      <c r="O74" s="6">
        <v>1</v>
      </c>
      <c r="P74" s="6">
        <v>1</v>
      </c>
      <c r="Q74" s="6"/>
      <c r="R74" s="6">
        <v>1</v>
      </c>
      <c r="S74" s="6"/>
      <c r="T74" s="6">
        <v>1</v>
      </c>
      <c r="U74" s="6"/>
      <c r="V74" s="6">
        <v>1</v>
      </c>
      <c r="W74" s="6"/>
      <c r="X74" s="6"/>
      <c r="Y74" s="6"/>
      <c r="Z74" s="239"/>
      <c r="AB74" s="328"/>
      <c r="AC74" s="328"/>
    </row>
    <row r="75" spans="2:29" x14ac:dyDescent="0.25">
      <c r="B75" s="248" t="s">
        <v>113</v>
      </c>
      <c r="C75" s="9"/>
      <c r="E75" s="330"/>
      <c r="F75" s="6"/>
      <c r="G75" s="6"/>
      <c r="H75" s="6"/>
      <c r="I75" s="6"/>
      <c r="J75" s="6"/>
      <c r="K75" s="6"/>
      <c r="L75" s="6"/>
      <c r="M75" s="6"/>
      <c r="N75" s="6"/>
      <c r="O75" s="6"/>
      <c r="P75" s="6"/>
      <c r="Q75" s="6"/>
      <c r="R75" s="6"/>
      <c r="S75" s="6"/>
      <c r="T75" s="6"/>
      <c r="U75" s="6"/>
      <c r="V75" s="6"/>
      <c r="W75" s="6"/>
      <c r="X75" s="6"/>
      <c r="Y75" s="6"/>
      <c r="Z75" s="239"/>
      <c r="AB75" s="328"/>
      <c r="AC75" s="328"/>
    </row>
    <row r="76" spans="2:29" x14ac:dyDescent="0.25">
      <c r="B76" s="248"/>
      <c r="C76" s="9" t="s">
        <v>80</v>
      </c>
      <c r="E76" s="330" t="str">
        <f>IF(Skills!DO45="x",1,"")</f>
        <v/>
      </c>
      <c r="F76" s="6"/>
      <c r="G76" s="6">
        <v>1</v>
      </c>
      <c r="H76" s="6"/>
      <c r="I76" s="6"/>
      <c r="J76" s="6"/>
      <c r="K76" s="6"/>
      <c r="L76" s="6"/>
      <c r="M76" s="6"/>
      <c r="N76" s="6">
        <v>1</v>
      </c>
      <c r="O76" s="6"/>
      <c r="P76" s="6"/>
      <c r="Q76" s="6"/>
      <c r="R76" s="6"/>
      <c r="S76" s="6"/>
      <c r="T76" s="6"/>
      <c r="U76" s="6"/>
      <c r="V76" s="6">
        <v>1</v>
      </c>
      <c r="W76" s="6"/>
      <c r="X76" s="6"/>
      <c r="Y76" s="6"/>
      <c r="Z76" s="239"/>
      <c r="AB76" s="328"/>
      <c r="AC76" s="328"/>
    </row>
    <row r="77" spans="2:29" x14ac:dyDescent="0.25">
      <c r="B77" s="248"/>
      <c r="C77" s="9" t="s">
        <v>81</v>
      </c>
      <c r="E77" s="330" t="str">
        <f>IF(Skills!DO47="x",1,"")</f>
        <v/>
      </c>
      <c r="F77" s="6"/>
      <c r="G77" s="6">
        <v>1</v>
      </c>
      <c r="H77" s="6"/>
      <c r="I77" s="6"/>
      <c r="J77" s="6"/>
      <c r="K77" s="6"/>
      <c r="L77" s="6"/>
      <c r="M77" s="6"/>
      <c r="N77" s="6">
        <v>1</v>
      </c>
      <c r="O77" s="6"/>
      <c r="P77" s="6"/>
      <c r="Q77" s="6"/>
      <c r="R77" s="6"/>
      <c r="S77" s="6"/>
      <c r="T77" s="6"/>
      <c r="U77" s="6"/>
      <c r="V77" s="6">
        <v>1</v>
      </c>
      <c r="W77" s="6">
        <v>1</v>
      </c>
      <c r="X77" s="6">
        <v>1</v>
      </c>
      <c r="Y77" s="6"/>
      <c r="Z77" s="239">
        <v>1</v>
      </c>
      <c r="AB77" s="328"/>
      <c r="AC77" s="328"/>
    </row>
    <row r="78" spans="2:29" x14ac:dyDescent="0.25">
      <c r="B78" s="248" t="s">
        <v>64</v>
      </c>
      <c r="C78" s="9"/>
      <c r="E78" s="330"/>
      <c r="F78" s="6"/>
      <c r="G78" s="6"/>
      <c r="H78" s="6"/>
      <c r="I78" s="6"/>
      <c r="J78" s="6"/>
      <c r="K78" s="6"/>
      <c r="L78" s="6"/>
      <c r="M78" s="6"/>
      <c r="N78" s="6"/>
      <c r="O78" s="6"/>
      <c r="P78" s="6"/>
      <c r="Q78" s="6"/>
      <c r="R78" s="6"/>
      <c r="S78" s="6"/>
      <c r="T78" s="6"/>
      <c r="U78" s="6"/>
      <c r="V78" s="6"/>
      <c r="W78" s="6"/>
      <c r="X78" s="6"/>
      <c r="Y78" s="6"/>
      <c r="Z78" s="239"/>
      <c r="AB78" s="328"/>
      <c r="AC78" s="328"/>
    </row>
    <row r="79" spans="2:29" x14ac:dyDescent="0.25">
      <c r="B79" s="248"/>
      <c r="C79" s="9" t="s">
        <v>82</v>
      </c>
      <c r="E79" s="330" t="str">
        <f>IF(Skills!DO49="x",1,"")</f>
        <v/>
      </c>
      <c r="F79" s="6"/>
      <c r="G79" s="6"/>
      <c r="H79" s="6"/>
      <c r="I79" s="6"/>
      <c r="J79" s="6"/>
      <c r="K79" s="6"/>
      <c r="L79" s="6"/>
      <c r="M79" s="6"/>
      <c r="N79" s="6"/>
      <c r="O79" s="6"/>
      <c r="P79" s="6">
        <v>1</v>
      </c>
      <c r="Q79" s="6">
        <v>1</v>
      </c>
      <c r="R79" s="6">
        <v>1</v>
      </c>
      <c r="S79" s="6">
        <v>1</v>
      </c>
      <c r="T79" s="6">
        <v>1</v>
      </c>
      <c r="U79" s="6">
        <v>1</v>
      </c>
      <c r="V79" s="6">
        <v>1</v>
      </c>
      <c r="W79" s="6">
        <v>1</v>
      </c>
      <c r="X79" s="6">
        <v>1</v>
      </c>
      <c r="Y79" s="6">
        <v>1</v>
      </c>
      <c r="Z79" s="239">
        <v>1</v>
      </c>
      <c r="AB79" s="328"/>
      <c r="AC79" s="328"/>
    </row>
    <row r="80" spans="2:29" x14ac:dyDescent="0.25">
      <c r="B80" s="248"/>
      <c r="C80" s="9" t="s">
        <v>83</v>
      </c>
      <c r="E80" s="330" t="str">
        <f>IF(Skills!DO51="x",1,"")</f>
        <v/>
      </c>
      <c r="F80" s="6"/>
      <c r="G80" s="6"/>
      <c r="H80" s="6"/>
      <c r="I80" s="6"/>
      <c r="J80" s="6"/>
      <c r="K80" s="6"/>
      <c r="L80" s="6"/>
      <c r="M80" s="6"/>
      <c r="N80" s="6"/>
      <c r="O80" s="6"/>
      <c r="P80" s="6"/>
      <c r="Q80" s="6">
        <v>1</v>
      </c>
      <c r="R80" s="6">
        <v>1</v>
      </c>
      <c r="S80" s="6">
        <v>1</v>
      </c>
      <c r="T80" s="6">
        <v>1</v>
      </c>
      <c r="U80" s="6">
        <v>1</v>
      </c>
      <c r="V80" s="6">
        <v>1</v>
      </c>
      <c r="W80" s="6">
        <v>1</v>
      </c>
      <c r="X80" s="6">
        <v>1</v>
      </c>
      <c r="Y80" s="6">
        <v>1</v>
      </c>
      <c r="Z80" s="239">
        <v>1</v>
      </c>
      <c r="AB80" s="328"/>
      <c r="AC80" s="328"/>
    </row>
    <row r="81" spans="2:29" x14ac:dyDescent="0.25">
      <c r="B81" s="248"/>
      <c r="C81" s="9" t="s">
        <v>84</v>
      </c>
      <c r="E81" s="330" t="str">
        <f>IF(Skills!DO54="x",1,"")</f>
        <v/>
      </c>
      <c r="F81" s="6"/>
      <c r="G81" s="6"/>
      <c r="H81" s="6"/>
      <c r="I81" s="6"/>
      <c r="J81" s="6"/>
      <c r="K81" s="6"/>
      <c r="L81" s="6"/>
      <c r="M81" s="6">
        <v>1</v>
      </c>
      <c r="N81" s="6"/>
      <c r="O81" s="6"/>
      <c r="P81" s="6"/>
      <c r="Q81" s="6"/>
      <c r="R81" s="6">
        <v>1</v>
      </c>
      <c r="S81" s="6">
        <v>1</v>
      </c>
      <c r="T81" s="6">
        <v>1</v>
      </c>
      <c r="U81" s="6">
        <v>1</v>
      </c>
      <c r="V81" s="6">
        <v>1</v>
      </c>
      <c r="W81" s="6">
        <v>1</v>
      </c>
      <c r="X81" s="6">
        <v>1</v>
      </c>
      <c r="Y81" s="6">
        <v>1</v>
      </c>
      <c r="Z81" s="239">
        <v>1</v>
      </c>
      <c r="AB81" s="328"/>
      <c r="AC81" s="328"/>
    </row>
    <row r="82" spans="2:29" x14ac:dyDescent="0.25">
      <c r="B82" s="248" t="s">
        <v>65</v>
      </c>
      <c r="C82" s="9"/>
      <c r="E82" s="330"/>
      <c r="F82" s="6"/>
      <c r="G82" s="6"/>
      <c r="H82" s="6"/>
      <c r="I82" s="6"/>
      <c r="J82" s="6"/>
      <c r="K82" s="6"/>
      <c r="L82" s="6"/>
      <c r="M82" s="6"/>
      <c r="N82" s="6"/>
      <c r="O82" s="6"/>
      <c r="P82" s="6"/>
      <c r="Q82" s="6"/>
      <c r="R82" s="6"/>
      <c r="S82" s="6"/>
      <c r="T82" s="6"/>
      <c r="U82" s="6"/>
      <c r="V82" s="6"/>
      <c r="W82" s="6"/>
      <c r="X82" s="6"/>
      <c r="Y82" s="6"/>
      <c r="Z82" s="239"/>
      <c r="AB82" s="328"/>
      <c r="AC82" s="328"/>
    </row>
    <row r="83" spans="2:29" x14ac:dyDescent="0.25">
      <c r="B83" s="248"/>
      <c r="C83" s="9" t="s">
        <v>85</v>
      </c>
      <c r="E83" s="330" t="str">
        <f>IF(Skills!DO56="x",1,"")</f>
        <v/>
      </c>
      <c r="F83" s="6"/>
      <c r="G83" s="6"/>
      <c r="H83" s="6"/>
      <c r="I83" s="6"/>
      <c r="J83" s="6">
        <v>1</v>
      </c>
      <c r="K83" s="6"/>
      <c r="L83" s="6">
        <v>1</v>
      </c>
      <c r="M83" s="6"/>
      <c r="N83" s="6"/>
      <c r="O83" s="6"/>
      <c r="P83" s="6"/>
      <c r="Q83" s="6"/>
      <c r="R83" s="6"/>
      <c r="S83" s="6">
        <v>1</v>
      </c>
      <c r="T83" s="6"/>
      <c r="U83" s="6"/>
      <c r="V83" s="6"/>
      <c r="W83" s="6"/>
      <c r="X83" s="6"/>
      <c r="Y83" s="6"/>
      <c r="Z83" s="239"/>
      <c r="AB83" s="328"/>
      <c r="AC83" s="328"/>
    </row>
    <row r="84" spans="2:29" x14ac:dyDescent="0.25">
      <c r="B84" s="248"/>
      <c r="C84" s="9" t="s">
        <v>86</v>
      </c>
      <c r="E84" s="330" t="str">
        <f>IF(Skills!DO58="x",1,"")</f>
        <v/>
      </c>
      <c r="F84" s="6">
        <v>1</v>
      </c>
      <c r="G84" s="6"/>
      <c r="H84" s="6"/>
      <c r="I84" s="6">
        <v>1</v>
      </c>
      <c r="J84" s="6"/>
      <c r="K84" s="6"/>
      <c r="L84" s="6">
        <v>1</v>
      </c>
      <c r="M84" s="6">
        <v>1</v>
      </c>
      <c r="N84" s="6"/>
      <c r="O84" s="6"/>
      <c r="P84" s="6"/>
      <c r="Q84" s="6"/>
      <c r="R84" s="6"/>
      <c r="S84" s="6"/>
      <c r="T84" s="6"/>
      <c r="U84" s="6"/>
      <c r="V84" s="6"/>
      <c r="W84" s="6"/>
      <c r="X84" s="6"/>
      <c r="Y84" s="6"/>
      <c r="Z84" s="239"/>
      <c r="AB84" s="328"/>
      <c r="AC84" s="328"/>
    </row>
    <row r="85" spans="2:29" x14ac:dyDescent="0.25">
      <c r="B85" s="248"/>
      <c r="C85" s="9" t="s">
        <v>87</v>
      </c>
      <c r="E85" s="330" t="str">
        <f>IF(Skills!DO60="x",1,"")</f>
        <v/>
      </c>
      <c r="F85" s="6"/>
      <c r="G85" s="6"/>
      <c r="H85" s="6"/>
      <c r="I85" s="6"/>
      <c r="J85" s="6">
        <v>1</v>
      </c>
      <c r="K85" s="6"/>
      <c r="L85" s="6"/>
      <c r="M85" s="6"/>
      <c r="N85" s="6"/>
      <c r="O85" s="6"/>
      <c r="P85" s="6"/>
      <c r="Q85" s="6"/>
      <c r="R85" s="6"/>
      <c r="S85" s="6"/>
      <c r="T85" s="6"/>
      <c r="U85" s="6"/>
      <c r="V85" s="6"/>
      <c r="W85" s="6"/>
      <c r="X85" s="6"/>
      <c r="Y85" s="6"/>
      <c r="Z85" s="239"/>
      <c r="AB85" s="328"/>
      <c r="AC85" s="328"/>
    </row>
    <row r="86" spans="2:29" x14ac:dyDescent="0.25">
      <c r="B86" s="248"/>
      <c r="C86" s="9" t="s">
        <v>88</v>
      </c>
      <c r="E86" s="330" t="str">
        <f>IF(Skills!DO61="x",1,"")</f>
        <v/>
      </c>
      <c r="F86" s="6"/>
      <c r="G86" s="6"/>
      <c r="H86" s="6"/>
      <c r="I86" s="6"/>
      <c r="J86" s="6"/>
      <c r="K86" s="6"/>
      <c r="L86" s="6">
        <v>1</v>
      </c>
      <c r="M86" s="6"/>
      <c r="N86" s="6"/>
      <c r="O86" s="6"/>
      <c r="P86" s="6"/>
      <c r="Q86" s="6"/>
      <c r="R86" s="6"/>
      <c r="S86" s="6">
        <v>1</v>
      </c>
      <c r="T86" s="6"/>
      <c r="U86" s="6"/>
      <c r="V86" s="6"/>
      <c r="W86" s="6"/>
      <c r="X86" s="6"/>
      <c r="Y86" s="6"/>
      <c r="Z86" s="239"/>
      <c r="AB86" s="328"/>
      <c r="AC86" s="328"/>
    </row>
    <row r="87" spans="2:29" x14ac:dyDescent="0.25">
      <c r="B87" s="248" t="s">
        <v>112</v>
      </c>
      <c r="C87" s="9"/>
      <c r="E87" s="330"/>
      <c r="F87" s="6"/>
      <c r="G87" s="6"/>
      <c r="H87" s="6"/>
      <c r="I87" s="6"/>
      <c r="J87" s="6"/>
      <c r="K87" s="6"/>
      <c r="L87" s="6"/>
      <c r="M87" s="6"/>
      <c r="N87" s="6"/>
      <c r="O87" s="6"/>
      <c r="P87" s="6"/>
      <c r="Q87" s="6"/>
      <c r="R87" s="6"/>
      <c r="S87" s="6"/>
      <c r="T87" s="6"/>
      <c r="U87" s="6"/>
      <c r="V87" s="6"/>
      <c r="W87" s="6"/>
      <c r="X87" s="6"/>
      <c r="Y87" s="6"/>
      <c r="Z87" s="239"/>
      <c r="AB87" s="328"/>
      <c r="AC87" s="328"/>
    </row>
    <row r="88" spans="2:29" x14ac:dyDescent="0.25">
      <c r="B88" s="248"/>
      <c r="C88" s="9" t="s">
        <v>89</v>
      </c>
      <c r="E88" s="330" t="str">
        <f>IF(Skills!DO64="x",1,"")</f>
        <v/>
      </c>
      <c r="F88" s="6"/>
      <c r="G88" s="6"/>
      <c r="H88" s="6"/>
      <c r="I88" s="6"/>
      <c r="J88" s="6">
        <v>1</v>
      </c>
      <c r="K88" s="6">
        <v>1</v>
      </c>
      <c r="L88" s="6">
        <v>1</v>
      </c>
      <c r="M88" s="6"/>
      <c r="N88" s="6"/>
      <c r="O88" s="6"/>
      <c r="P88" s="6"/>
      <c r="Q88" s="6"/>
      <c r="R88" s="6"/>
      <c r="S88" s="6"/>
      <c r="T88" s="6"/>
      <c r="U88" s="6"/>
      <c r="V88" s="6"/>
      <c r="W88" s="6"/>
      <c r="X88" s="6"/>
      <c r="Y88" s="6"/>
      <c r="Z88" s="239"/>
      <c r="AB88" s="328"/>
      <c r="AC88" s="328"/>
    </row>
    <row r="89" spans="2:29" x14ac:dyDescent="0.25">
      <c r="B89" s="248"/>
      <c r="C89" s="9" t="s">
        <v>90</v>
      </c>
      <c r="E89" s="330" t="str">
        <f>IF(Skills!DO66="x",1,"")</f>
        <v/>
      </c>
      <c r="F89" s="6"/>
      <c r="G89" s="6"/>
      <c r="H89" s="6">
        <v>1</v>
      </c>
      <c r="I89" s="6"/>
      <c r="J89" s="6"/>
      <c r="K89" s="6"/>
      <c r="L89" s="6">
        <v>1</v>
      </c>
      <c r="M89" s="6"/>
      <c r="N89" s="6"/>
      <c r="O89" s="6">
        <v>1</v>
      </c>
      <c r="P89" s="6"/>
      <c r="Q89" s="6">
        <v>1</v>
      </c>
      <c r="R89" s="6"/>
      <c r="S89" s="6"/>
      <c r="T89" s="6"/>
      <c r="U89" s="6">
        <v>1</v>
      </c>
      <c r="V89" s="6"/>
      <c r="W89" s="6"/>
      <c r="X89" s="6"/>
      <c r="Y89" s="6">
        <v>1</v>
      </c>
      <c r="Z89" s="239"/>
      <c r="AB89" s="328"/>
      <c r="AC89" s="328"/>
    </row>
    <row r="90" spans="2:29" x14ac:dyDescent="0.25">
      <c r="B90" s="248"/>
      <c r="C90" s="9" t="s">
        <v>91</v>
      </c>
      <c r="E90" s="330" t="str">
        <f>IF(Skills!DO67="x",1,"")</f>
        <v/>
      </c>
      <c r="F90" s="6"/>
      <c r="G90" s="6"/>
      <c r="H90" s="6"/>
      <c r="I90" s="6"/>
      <c r="J90" s="6"/>
      <c r="K90" s="6"/>
      <c r="L90" s="6">
        <v>1</v>
      </c>
      <c r="M90" s="6"/>
      <c r="N90" s="6"/>
      <c r="O90" s="6"/>
      <c r="P90" s="6"/>
      <c r="Q90" s="6"/>
      <c r="R90" s="6"/>
      <c r="S90" s="6"/>
      <c r="T90" s="6"/>
      <c r="U90" s="6"/>
      <c r="V90" s="6"/>
      <c r="W90" s="6"/>
      <c r="X90" s="6"/>
      <c r="Y90" s="6"/>
      <c r="Z90" s="239"/>
      <c r="AB90" s="328"/>
      <c r="AC90" s="328"/>
    </row>
    <row r="91" spans="2:29" x14ac:dyDescent="0.25">
      <c r="B91" s="248" t="s">
        <v>66</v>
      </c>
      <c r="C91" s="9"/>
      <c r="E91" s="330"/>
      <c r="F91" s="6"/>
      <c r="G91" s="6"/>
      <c r="H91" s="6"/>
      <c r="I91" s="6"/>
      <c r="J91" s="6"/>
      <c r="K91" s="6"/>
      <c r="L91" s="6"/>
      <c r="M91" s="6"/>
      <c r="N91" s="6"/>
      <c r="O91" s="6"/>
      <c r="P91" s="6"/>
      <c r="Q91" s="6"/>
      <c r="R91" s="6"/>
      <c r="S91" s="6"/>
      <c r="T91" s="6"/>
      <c r="U91" s="6"/>
      <c r="V91" s="6"/>
      <c r="W91" s="6"/>
      <c r="X91" s="6"/>
      <c r="Y91" s="6"/>
      <c r="Z91" s="239"/>
      <c r="AB91" s="328"/>
      <c r="AC91" s="328"/>
    </row>
    <row r="92" spans="2:29" x14ac:dyDescent="0.25">
      <c r="B92" s="248"/>
      <c r="C92" s="9" t="s">
        <v>92</v>
      </c>
      <c r="E92" s="330" t="str">
        <f>IF(Skills!DO69="x",1,"")</f>
        <v/>
      </c>
      <c r="F92" s="6"/>
      <c r="G92" s="6"/>
      <c r="H92" s="6">
        <v>1</v>
      </c>
      <c r="I92" s="6">
        <v>1</v>
      </c>
      <c r="J92" s="6"/>
      <c r="K92" s="6"/>
      <c r="L92" s="6"/>
      <c r="M92" s="6">
        <v>1</v>
      </c>
      <c r="N92" s="6"/>
      <c r="O92" s="6"/>
      <c r="P92" s="6">
        <v>1</v>
      </c>
      <c r="Q92" s="6"/>
      <c r="R92" s="6">
        <v>1</v>
      </c>
      <c r="S92" s="6"/>
      <c r="T92" s="6"/>
      <c r="U92" s="6"/>
      <c r="V92" s="6"/>
      <c r="W92" s="6"/>
      <c r="X92" s="6"/>
      <c r="Y92" s="6"/>
      <c r="Z92" s="239"/>
      <c r="AB92" s="328"/>
      <c r="AC92" s="328"/>
    </row>
    <row r="93" spans="2:29" x14ac:dyDescent="0.25">
      <c r="B93" s="248"/>
      <c r="C93" s="9" t="s">
        <v>93</v>
      </c>
      <c r="E93" s="330" t="str">
        <f>IF(Skills!DO73="x",1,"")</f>
        <v/>
      </c>
      <c r="F93" s="6">
        <v>1</v>
      </c>
      <c r="G93" s="6"/>
      <c r="H93" s="6"/>
      <c r="I93" s="6"/>
      <c r="J93" s="6"/>
      <c r="K93" s="6"/>
      <c r="L93" s="6"/>
      <c r="M93" s="6">
        <v>1</v>
      </c>
      <c r="N93" s="6"/>
      <c r="O93" s="6"/>
      <c r="P93" s="6"/>
      <c r="Q93" s="6"/>
      <c r="R93" s="6"/>
      <c r="S93" s="6"/>
      <c r="T93" s="6"/>
      <c r="U93" s="6"/>
      <c r="V93" s="6"/>
      <c r="W93" s="6"/>
      <c r="X93" s="6"/>
      <c r="Y93" s="6"/>
      <c r="Z93" s="239"/>
      <c r="AB93" s="328"/>
      <c r="AC93" s="328"/>
    </row>
    <row r="94" spans="2:29" x14ac:dyDescent="0.25">
      <c r="B94" s="248"/>
      <c r="C94" s="9" t="s">
        <v>94</v>
      </c>
      <c r="E94" s="330" t="str">
        <f>IF(Skills!DO74="x",1,"")</f>
        <v/>
      </c>
      <c r="F94" s="6"/>
      <c r="G94" s="6"/>
      <c r="H94" s="6"/>
      <c r="I94" s="6">
        <v>1</v>
      </c>
      <c r="J94" s="6"/>
      <c r="K94" s="6"/>
      <c r="L94" s="6"/>
      <c r="M94" s="6"/>
      <c r="N94" s="6"/>
      <c r="O94" s="6"/>
      <c r="P94" s="6">
        <v>1</v>
      </c>
      <c r="Q94" s="6"/>
      <c r="R94" s="6"/>
      <c r="S94" s="6"/>
      <c r="T94" s="6"/>
      <c r="U94" s="6"/>
      <c r="V94" s="6"/>
      <c r="W94" s="6"/>
      <c r="X94" s="6"/>
      <c r="Y94" s="6"/>
      <c r="Z94" s="239"/>
      <c r="AB94" s="328"/>
      <c r="AC94" s="328"/>
    </row>
    <row r="95" spans="2:29" x14ac:dyDescent="0.25">
      <c r="B95" s="248" t="s">
        <v>111</v>
      </c>
      <c r="C95" s="9"/>
      <c r="E95" s="330"/>
      <c r="F95" s="6"/>
      <c r="G95" s="6"/>
      <c r="H95" s="6"/>
      <c r="I95" s="6"/>
      <c r="J95" s="6"/>
      <c r="K95" s="6"/>
      <c r="L95" s="6"/>
      <c r="M95" s="6"/>
      <c r="N95" s="6"/>
      <c r="O95" s="6"/>
      <c r="P95" s="6"/>
      <c r="Q95" s="6"/>
      <c r="R95" s="6"/>
      <c r="S95" s="6"/>
      <c r="T95" s="6"/>
      <c r="U95" s="6"/>
      <c r="V95" s="6"/>
      <c r="W95" s="6"/>
      <c r="X95" s="6"/>
      <c r="Y95" s="6"/>
      <c r="Z95" s="239"/>
      <c r="AB95" s="328"/>
      <c r="AC95" s="328"/>
    </row>
    <row r="96" spans="2:29" x14ac:dyDescent="0.25">
      <c r="B96" s="248"/>
      <c r="C96" s="9" t="s">
        <v>95</v>
      </c>
      <c r="E96" s="330" t="str">
        <f>IF(Skills!DO76="x",1,"")</f>
        <v/>
      </c>
      <c r="F96" s="6"/>
      <c r="G96" s="6"/>
      <c r="H96" s="6"/>
      <c r="I96" s="6"/>
      <c r="J96" s="6"/>
      <c r="K96" s="6"/>
      <c r="L96" s="6"/>
      <c r="M96" s="6"/>
      <c r="N96" s="6"/>
      <c r="O96" s="6"/>
      <c r="P96" s="6"/>
      <c r="Q96" s="6"/>
      <c r="R96" s="6">
        <v>1</v>
      </c>
      <c r="S96" s="6">
        <v>1</v>
      </c>
      <c r="T96" s="6">
        <v>1</v>
      </c>
      <c r="U96" s="6">
        <v>1</v>
      </c>
      <c r="V96" s="6">
        <v>1</v>
      </c>
      <c r="W96" s="6">
        <v>1</v>
      </c>
      <c r="X96" s="6">
        <v>1</v>
      </c>
      <c r="Y96" s="6">
        <v>1</v>
      </c>
      <c r="Z96" s="239">
        <v>1</v>
      </c>
      <c r="AB96" s="328"/>
      <c r="AC96" s="328"/>
    </row>
    <row r="97" spans="2:29" x14ac:dyDescent="0.25">
      <c r="B97" s="248"/>
      <c r="C97" s="9" t="s">
        <v>96</v>
      </c>
      <c r="E97" s="330" t="str">
        <f>IF(Skills!DO81="x",1,"")</f>
        <v/>
      </c>
      <c r="F97" s="6"/>
      <c r="G97" s="6"/>
      <c r="H97" s="6"/>
      <c r="I97" s="6"/>
      <c r="J97" s="6"/>
      <c r="K97" s="6"/>
      <c r="L97" s="6"/>
      <c r="M97" s="6">
        <v>1</v>
      </c>
      <c r="N97" s="6">
        <v>1</v>
      </c>
      <c r="O97" s="6"/>
      <c r="P97" s="6"/>
      <c r="Q97" s="6">
        <v>1</v>
      </c>
      <c r="R97" s="6">
        <v>1</v>
      </c>
      <c r="S97" s="6">
        <v>1</v>
      </c>
      <c r="T97" s="6">
        <v>1</v>
      </c>
      <c r="U97" s="6">
        <v>1</v>
      </c>
      <c r="V97" s="6">
        <v>1</v>
      </c>
      <c r="W97" s="6">
        <v>1</v>
      </c>
      <c r="X97" s="6">
        <v>1</v>
      </c>
      <c r="Y97" s="6">
        <v>1</v>
      </c>
      <c r="Z97" s="239">
        <v>1</v>
      </c>
      <c r="AB97" s="328"/>
      <c r="AC97" s="328"/>
    </row>
    <row r="98" spans="2:29" x14ac:dyDescent="0.25">
      <c r="B98" s="248"/>
      <c r="C98" s="9" t="s">
        <v>97</v>
      </c>
      <c r="E98" s="330" t="str">
        <f>IF(Skills!DO82="x",1,"")</f>
        <v/>
      </c>
      <c r="F98" s="6"/>
      <c r="G98" s="6"/>
      <c r="H98" s="6"/>
      <c r="I98" s="6"/>
      <c r="J98" s="6"/>
      <c r="K98" s="6"/>
      <c r="L98" s="6">
        <v>1</v>
      </c>
      <c r="M98" s="6">
        <v>1</v>
      </c>
      <c r="N98" s="6">
        <v>1</v>
      </c>
      <c r="O98" s="6">
        <v>1</v>
      </c>
      <c r="P98" s="6">
        <v>1</v>
      </c>
      <c r="Q98" s="6">
        <v>1</v>
      </c>
      <c r="R98" s="6">
        <v>1</v>
      </c>
      <c r="S98" s="6">
        <v>1</v>
      </c>
      <c r="T98" s="6">
        <v>1</v>
      </c>
      <c r="U98" s="6">
        <v>1</v>
      </c>
      <c r="V98" s="6">
        <v>1</v>
      </c>
      <c r="W98" s="6">
        <v>1</v>
      </c>
      <c r="X98" s="6">
        <v>1</v>
      </c>
      <c r="Y98" s="6">
        <v>1</v>
      </c>
      <c r="Z98" s="239">
        <v>1</v>
      </c>
      <c r="AB98" s="328"/>
      <c r="AC98" s="328"/>
    </row>
    <row r="99" spans="2:29" x14ac:dyDescent="0.25">
      <c r="B99" s="248"/>
      <c r="C99" s="9" t="s">
        <v>98</v>
      </c>
      <c r="E99" s="330" t="str">
        <f>IF(Skills!DO82="x",1,"")</f>
        <v/>
      </c>
      <c r="F99" s="6"/>
      <c r="G99" s="6"/>
      <c r="H99" s="6"/>
      <c r="I99" s="6"/>
      <c r="J99" s="6"/>
      <c r="K99" s="6"/>
      <c r="L99" s="6">
        <v>1</v>
      </c>
      <c r="M99" s="6">
        <v>1</v>
      </c>
      <c r="N99" s="6">
        <v>1</v>
      </c>
      <c r="O99" s="6">
        <v>1</v>
      </c>
      <c r="P99" s="6">
        <v>1</v>
      </c>
      <c r="Q99" s="6">
        <v>1</v>
      </c>
      <c r="R99" s="6">
        <v>1</v>
      </c>
      <c r="S99" s="6">
        <v>1</v>
      </c>
      <c r="T99" s="6">
        <v>1</v>
      </c>
      <c r="U99" s="6">
        <v>1</v>
      </c>
      <c r="V99" s="6">
        <v>1</v>
      </c>
      <c r="W99" s="6">
        <v>1</v>
      </c>
      <c r="X99" s="6">
        <v>1</v>
      </c>
      <c r="Y99" s="6">
        <v>1</v>
      </c>
      <c r="Z99" s="239">
        <v>1</v>
      </c>
      <c r="AB99" s="328"/>
      <c r="AC99" s="328"/>
    </row>
    <row r="100" spans="2:29" x14ac:dyDescent="0.25">
      <c r="B100" s="248"/>
      <c r="C100" s="9" t="s">
        <v>99</v>
      </c>
      <c r="E100" s="330" t="str">
        <f>IF(Skills!DO82="x",1,"")</f>
        <v/>
      </c>
      <c r="F100" s="6"/>
      <c r="G100" s="6"/>
      <c r="H100" s="6"/>
      <c r="I100" s="6"/>
      <c r="J100" s="6"/>
      <c r="K100" s="6"/>
      <c r="L100" s="6">
        <v>1</v>
      </c>
      <c r="M100" s="6">
        <v>1</v>
      </c>
      <c r="N100" s="6">
        <v>1</v>
      </c>
      <c r="O100" s="6">
        <v>1</v>
      </c>
      <c r="P100" s="6">
        <v>1</v>
      </c>
      <c r="Q100" s="6">
        <v>1</v>
      </c>
      <c r="R100" s="6">
        <v>1</v>
      </c>
      <c r="S100" s="6">
        <v>1</v>
      </c>
      <c r="T100" s="6">
        <v>1</v>
      </c>
      <c r="U100" s="6">
        <v>1</v>
      </c>
      <c r="V100" s="6">
        <v>1</v>
      </c>
      <c r="W100" s="6">
        <v>1</v>
      </c>
      <c r="X100" s="6">
        <v>1</v>
      </c>
      <c r="Y100" s="6">
        <v>1</v>
      </c>
      <c r="Z100" s="239">
        <v>1</v>
      </c>
      <c r="AB100" s="328"/>
      <c r="AC100" s="328"/>
    </row>
    <row r="101" spans="2:29" x14ac:dyDescent="0.25">
      <c r="B101" s="248"/>
      <c r="C101" s="9" t="s">
        <v>100</v>
      </c>
      <c r="E101" s="330" t="str">
        <f>IF(Skills!DO82="x",1,"")</f>
        <v/>
      </c>
      <c r="F101" s="6"/>
      <c r="G101" s="6"/>
      <c r="H101" s="6"/>
      <c r="I101" s="6"/>
      <c r="J101" s="6"/>
      <c r="K101" s="6"/>
      <c r="L101" s="6">
        <v>1</v>
      </c>
      <c r="M101" s="6">
        <v>1</v>
      </c>
      <c r="N101" s="6">
        <v>1</v>
      </c>
      <c r="O101" s="6">
        <v>1</v>
      </c>
      <c r="P101" s="6">
        <v>1</v>
      </c>
      <c r="Q101" s="6">
        <v>1</v>
      </c>
      <c r="R101" s="6">
        <v>1</v>
      </c>
      <c r="S101" s="6">
        <v>1</v>
      </c>
      <c r="T101" s="6">
        <v>1</v>
      </c>
      <c r="U101" s="6">
        <v>1</v>
      </c>
      <c r="V101" s="6">
        <v>1</v>
      </c>
      <c r="W101" s="6">
        <v>1</v>
      </c>
      <c r="X101" s="6">
        <v>1</v>
      </c>
      <c r="Y101" s="6">
        <v>1</v>
      </c>
      <c r="Z101" s="239">
        <v>1</v>
      </c>
      <c r="AB101" s="328"/>
      <c r="AC101" s="328"/>
    </row>
    <row r="102" spans="2:29" x14ac:dyDescent="0.25">
      <c r="B102" s="248" t="s">
        <v>110</v>
      </c>
      <c r="C102" s="9"/>
      <c r="E102" s="330"/>
      <c r="F102" s="6"/>
      <c r="G102" s="6"/>
      <c r="H102" s="6"/>
      <c r="I102" s="6"/>
      <c r="J102" s="6"/>
      <c r="K102" s="6"/>
      <c r="L102" s="6"/>
      <c r="M102" s="6"/>
      <c r="N102" s="6"/>
      <c r="O102" s="6"/>
      <c r="P102" s="6"/>
      <c r="Q102" s="6"/>
      <c r="R102" s="6"/>
      <c r="S102" s="6"/>
      <c r="T102" s="6"/>
      <c r="U102" s="6"/>
      <c r="V102" s="6"/>
      <c r="W102" s="6"/>
      <c r="X102" s="6"/>
      <c r="Y102" s="6"/>
      <c r="Z102" s="239"/>
      <c r="AB102" s="328"/>
      <c r="AC102" s="328"/>
    </row>
    <row r="103" spans="2:29" x14ac:dyDescent="0.25">
      <c r="B103" s="248"/>
      <c r="C103" s="9" t="s">
        <v>101</v>
      </c>
      <c r="E103" s="330" t="str">
        <f>IF(Skills!DO105="x",1,"")</f>
        <v/>
      </c>
      <c r="F103" s="6">
        <v>1</v>
      </c>
      <c r="G103" s="6">
        <v>1</v>
      </c>
      <c r="H103" s="6">
        <v>1</v>
      </c>
      <c r="I103" s="6"/>
      <c r="J103" s="6"/>
      <c r="K103" s="6"/>
      <c r="L103" s="6"/>
      <c r="M103" s="6"/>
      <c r="N103" s="6"/>
      <c r="O103" s="6">
        <v>1</v>
      </c>
      <c r="P103" s="6"/>
      <c r="Q103" s="6"/>
      <c r="R103" s="6"/>
      <c r="S103" s="6"/>
      <c r="T103" s="6"/>
      <c r="U103" s="6"/>
      <c r="V103" s="6"/>
      <c r="W103" s="6"/>
      <c r="X103" s="6"/>
      <c r="Y103" s="6"/>
      <c r="Z103" s="239"/>
      <c r="AB103" s="328"/>
      <c r="AC103" s="328"/>
    </row>
    <row r="104" spans="2:29" x14ac:dyDescent="0.25">
      <c r="B104" s="248"/>
      <c r="C104" s="9" t="s">
        <v>102</v>
      </c>
      <c r="E104" s="330" t="str">
        <f>IF(Skills!DO107="x",1,"")</f>
        <v/>
      </c>
      <c r="F104" s="6">
        <v>1</v>
      </c>
      <c r="G104" s="6">
        <v>1</v>
      </c>
      <c r="H104" s="6">
        <v>1</v>
      </c>
      <c r="I104" s="6">
        <v>1</v>
      </c>
      <c r="J104" s="6"/>
      <c r="K104" s="6"/>
      <c r="L104" s="6"/>
      <c r="M104" s="6"/>
      <c r="N104" s="6"/>
      <c r="O104" s="6">
        <v>1</v>
      </c>
      <c r="P104" s="6"/>
      <c r="Q104" s="6">
        <v>1</v>
      </c>
      <c r="R104" s="6"/>
      <c r="S104" s="6"/>
      <c r="T104" s="6"/>
      <c r="U104" s="6"/>
      <c r="V104" s="6"/>
      <c r="W104" s="6"/>
      <c r="X104" s="6"/>
      <c r="Y104" s="6">
        <v>1</v>
      </c>
      <c r="Z104" s="239"/>
      <c r="AB104" s="328"/>
      <c r="AC104" s="328"/>
    </row>
    <row r="105" spans="2:29" x14ac:dyDescent="0.25">
      <c r="B105" s="248"/>
      <c r="C105" s="9" t="s">
        <v>103</v>
      </c>
      <c r="E105" s="330" t="str">
        <f>IF(Skills!DO108="x",1,"")</f>
        <v/>
      </c>
      <c r="F105" s="6"/>
      <c r="G105" s="6"/>
      <c r="H105" s="6">
        <v>1</v>
      </c>
      <c r="I105" s="6"/>
      <c r="J105" s="6"/>
      <c r="K105" s="6"/>
      <c r="L105" s="6"/>
      <c r="M105" s="6"/>
      <c r="N105" s="6"/>
      <c r="O105" s="6">
        <v>1</v>
      </c>
      <c r="P105" s="6"/>
      <c r="Q105" s="6">
        <v>1</v>
      </c>
      <c r="R105" s="6"/>
      <c r="S105" s="6"/>
      <c r="T105" s="6"/>
      <c r="U105" s="6">
        <v>1</v>
      </c>
      <c r="V105" s="6"/>
      <c r="W105" s="6"/>
      <c r="X105" s="6"/>
      <c r="Y105" s="6">
        <v>1</v>
      </c>
      <c r="Z105" s="239"/>
      <c r="AB105" s="328"/>
      <c r="AC105" s="328"/>
    </row>
    <row r="106" spans="2:29" x14ac:dyDescent="0.25">
      <c r="B106" s="248" t="s">
        <v>67</v>
      </c>
      <c r="C106" s="9"/>
      <c r="E106" s="330"/>
      <c r="F106" s="6"/>
      <c r="G106" s="6"/>
      <c r="H106" s="6"/>
      <c r="I106" s="6"/>
      <c r="J106" s="6"/>
      <c r="K106" s="6"/>
      <c r="L106" s="6"/>
      <c r="M106" s="6"/>
      <c r="N106" s="6"/>
      <c r="O106" s="6"/>
      <c r="P106" s="6"/>
      <c r="Q106" s="6"/>
      <c r="R106" s="6"/>
      <c r="S106" s="6"/>
      <c r="T106" s="6"/>
      <c r="U106" s="6"/>
      <c r="V106" s="6"/>
      <c r="W106" s="6"/>
      <c r="X106" s="6"/>
      <c r="Y106" s="6"/>
      <c r="Z106" s="239"/>
      <c r="AB106" s="328"/>
      <c r="AC106" s="328"/>
    </row>
    <row r="107" spans="2:29" x14ac:dyDescent="0.25">
      <c r="B107" s="248"/>
      <c r="C107" s="9" t="s">
        <v>104</v>
      </c>
      <c r="E107" s="330" t="str">
        <f>IF(Skills!DO111="x",1,"")</f>
        <v/>
      </c>
      <c r="F107" s="6"/>
      <c r="G107" s="6"/>
      <c r="H107" s="6"/>
      <c r="I107" s="6"/>
      <c r="J107" s="6"/>
      <c r="K107" s="6">
        <v>1</v>
      </c>
      <c r="L107" s="6"/>
      <c r="M107" s="6"/>
      <c r="N107" s="6"/>
      <c r="O107" s="6"/>
      <c r="P107" s="6">
        <v>1</v>
      </c>
      <c r="Q107" s="6"/>
      <c r="R107" s="6"/>
      <c r="S107" s="6"/>
      <c r="T107" s="6"/>
      <c r="U107" s="6"/>
      <c r="V107" s="6"/>
      <c r="W107" s="6"/>
      <c r="X107" s="6"/>
      <c r="Y107" s="6"/>
      <c r="Z107" s="239"/>
      <c r="AB107" s="328"/>
      <c r="AC107" s="328"/>
    </row>
    <row r="108" spans="2:29" x14ac:dyDescent="0.25">
      <c r="B108" s="248"/>
      <c r="C108" s="9" t="s">
        <v>105</v>
      </c>
      <c r="E108" s="330" t="str">
        <f>IF(Skills!DO113="x",1,"")</f>
        <v/>
      </c>
      <c r="F108" s="6"/>
      <c r="G108" s="6"/>
      <c r="H108" s="6"/>
      <c r="I108" s="6"/>
      <c r="J108" s="6">
        <v>1</v>
      </c>
      <c r="K108" s="6"/>
      <c r="L108" s="6"/>
      <c r="M108" s="6"/>
      <c r="N108" s="6"/>
      <c r="O108" s="6"/>
      <c r="P108" s="6"/>
      <c r="Q108" s="6"/>
      <c r="R108" s="6"/>
      <c r="S108" s="6"/>
      <c r="T108" s="6"/>
      <c r="U108" s="6"/>
      <c r="V108" s="6"/>
      <c r="W108" s="6">
        <v>1</v>
      </c>
      <c r="X108" s="6"/>
      <c r="Y108" s="6"/>
      <c r="Z108" s="239"/>
      <c r="AB108" s="328"/>
      <c r="AC108" s="328"/>
    </row>
    <row r="109" spans="2:29" x14ac:dyDescent="0.25">
      <c r="B109" s="248"/>
      <c r="C109" s="9" t="s">
        <v>106</v>
      </c>
      <c r="E109" s="330" t="str">
        <f>IF(Skills!DO116="x",1,"")</f>
        <v/>
      </c>
      <c r="F109" s="6"/>
      <c r="G109" s="6"/>
      <c r="H109" s="6">
        <v>1</v>
      </c>
      <c r="I109" s="6"/>
      <c r="J109" s="6">
        <v>1</v>
      </c>
      <c r="K109" s="6">
        <v>1</v>
      </c>
      <c r="L109" s="6"/>
      <c r="M109" s="6"/>
      <c r="N109" s="6"/>
      <c r="O109" s="6">
        <v>1</v>
      </c>
      <c r="P109" s="6"/>
      <c r="Q109" s="6">
        <v>1</v>
      </c>
      <c r="R109" s="6"/>
      <c r="S109" s="6"/>
      <c r="T109" s="6"/>
      <c r="U109" s="6"/>
      <c r="V109" s="6"/>
      <c r="W109" s="6"/>
      <c r="X109" s="6"/>
      <c r="Y109" s="6"/>
      <c r="Z109" s="239"/>
      <c r="AB109" s="328"/>
      <c r="AC109" s="328"/>
    </row>
    <row r="110" spans="2:29" x14ac:dyDescent="0.25">
      <c r="B110" s="248"/>
      <c r="C110" s="9" t="s">
        <v>107</v>
      </c>
      <c r="E110" s="330" t="str">
        <f>IF(Skills!DO119="x",1,"")</f>
        <v/>
      </c>
      <c r="F110" s="6"/>
      <c r="G110" s="6"/>
      <c r="H110" s="6"/>
      <c r="I110" s="6"/>
      <c r="J110" s="6"/>
      <c r="K110" s="6">
        <v>1</v>
      </c>
      <c r="L110" s="6"/>
      <c r="M110" s="6"/>
      <c r="N110" s="6"/>
      <c r="O110" s="6"/>
      <c r="P110" s="6"/>
      <c r="Q110" s="6"/>
      <c r="R110" s="6"/>
      <c r="S110" s="6"/>
      <c r="T110" s="6"/>
      <c r="U110" s="6"/>
      <c r="V110" s="6"/>
      <c r="W110" s="6">
        <v>1</v>
      </c>
      <c r="X110" s="6">
        <v>1</v>
      </c>
      <c r="Y110" s="6"/>
      <c r="Z110" s="239"/>
      <c r="AB110" s="328"/>
      <c r="AC110" s="328"/>
    </row>
    <row r="111" spans="2:29" x14ac:dyDescent="0.25">
      <c r="B111" s="248"/>
      <c r="C111" s="9" t="s">
        <v>108</v>
      </c>
      <c r="E111" s="330" t="str">
        <f>IF(Skills!DO123="x",1,"")</f>
        <v/>
      </c>
      <c r="F111" s="6"/>
      <c r="G111" s="6"/>
      <c r="H111" s="6"/>
      <c r="I111" s="6"/>
      <c r="J111" s="6">
        <v>1</v>
      </c>
      <c r="K111" s="6"/>
      <c r="L111" s="6"/>
      <c r="M111" s="6"/>
      <c r="N111" s="6"/>
      <c r="O111" s="6"/>
      <c r="P111" s="6">
        <v>1</v>
      </c>
      <c r="Q111" s="6"/>
      <c r="R111" s="6"/>
      <c r="S111" s="6"/>
      <c r="T111" s="6"/>
      <c r="U111" s="6">
        <v>1</v>
      </c>
      <c r="V111" s="6"/>
      <c r="W111" s="6"/>
      <c r="X111" s="6"/>
      <c r="Y111" s="6"/>
      <c r="Z111" s="239"/>
      <c r="AB111" s="328"/>
      <c r="AC111" s="328"/>
    </row>
    <row r="112" spans="2:29" ht="15.75" thickBot="1" x14ac:dyDescent="0.3">
      <c r="B112" s="251"/>
      <c r="C112" s="17" t="s">
        <v>109</v>
      </c>
      <c r="D112" s="17"/>
      <c r="E112" s="331" t="str">
        <f>IF(Skills!DO125="x",1,"")</f>
        <v/>
      </c>
      <c r="F112" s="18"/>
      <c r="G112" s="18"/>
      <c r="H112" s="18"/>
      <c r="I112" s="18"/>
      <c r="J112" s="18">
        <v>1</v>
      </c>
      <c r="K112" s="18">
        <v>1</v>
      </c>
      <c r="L112" s="18"/>
      <c r="M112" s="18"/>
      <c r="N112" s="18"/>
      <c r="O112" s="18"/>
      <c r="P112" s="18"/>
      <c r="Q112" s="18"/>
      <c r="R112" s="18"/>
      <c r="S112" s="18"/>
      <c r="T112" s="18"/>
      <c r="U112" s="18"/>
      <c r="V112" s="18"/>
      <c r="W112" s="18"/>
      <c r="X112" s="18"/>
      <c r="Y112" s="18"/>
      <c r="Z112" s="136"/>
      <c r="AB112" s="328"/>
      <c r="AC112" s="328"/>
    </row>
  </sheetData>
  <sheetProtection sheet="1" objects="1" scenarios="1"/>
  <pageMargins left="0.7" right="0.7" top="0.75" bottom="0.75" header="0.3" footer="0.3"/>
  <pageSetup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0"/>
  <sheetViews>
    <sheetView showGridLines="0" workbookViewId="0">
      <selection activeCell="N36" sqref="N36"/>
    </sheetView>
  </sheetViews>
  <sheetFormatPr defaultRowHeight="15" x14ac:dyDescent="0.25"/>
  <cols>
    <col min="1" max="1" width="5.42578125" customWidth="1"/>
    <col min="2" max="2" width="9.140625" style="40"/>
    <col min="3" max="17" width="4.28515625" customWidth="1"/>
    <col min="18" max="21" width="4.7109375" customWidth="1"/>
    <col min="22" max="22" width="4.7109375" style="6" customWidth="1"/>
    <col min="23" max="23" width="4.7109375" customWidth="1"/>
    <col min="24" max="24" width="6.5703125" style="6" customWidth="1"/>
    <col min="26" max="26" width="20" customWidth="1"/>
  </cols>
  <sheetData>
    <row r="1" spans="2:38" ht="15.75" thickBot="1" x14ac:dyDescent="0.3"/>
    <row r="2" spans="2:38" x14ac:dyDescent="0.25">
      <c r="B2" s="879" t="s">
        <v>238</v>
      </c>
      <c r="C2" s="880"/>
      <c r="D2" s="880"/>
      <c r="E2" s="880"/>
      <c r="F2" s="880"/>
      <c r="G2" s="880"/>
      <c r="H2" s="880"/>
      <c r="I2" s="880"/>
      <c r="J2" s="880"/>
      <c r="K2" s="880"/>
      <c r="L2" s="880"/>
      <c r="M2" s="880"/>
      <c r="N2" s="880"/>
      <c r="O2" s="880"/>
      <c r="P2" s="880"/>
      <c r="Q2" s="880"/>
      <c r="R2" s="880"/>
      <c r="S2" s="880"/>
      <c r="T2" s="880"/>
      <c r="U2" s="880"/>
      <c r="V2" s="880"/>
      <c r="W2" s="880"/>
      <c r="X2" s="881"/>
      <c r="Z2" s="879" t="s">
        <v>387</v>
      </c>
      <c r="AA2" s="883"/>
      <c r="AB2" s="883"/>
      <c r="AC2" s="883"/>
      <c r="AD2" s="883"/>
      <c r="AE2" s="883"/>
      <c r="AF2" s="883"/>
      <c r="AG2" s="883"/>
      <c r="AH2" s="883"/>
      <c r="AI2" s="883"/>
      <c r="AJ2" s="883"/>
      <c r="AK2" s="883"/>
      <c r="AL2" s="884"/>
    </row>
    <row r="3" spans="2:38" x14ac:dyDescent="0.25">
      <c r="B3" s="14"/>
      <c r="C3" s="882" t="s">
        <v>181</v>
      </c>
      <c r="D3" s="882"/>
      <c r="E3" s="882"/>
      <c r="F3" s="882"/>
      <c r="G3" s="882"/>
      <c r="H3" s="882"/>
      <c r="I3" s="882"/>
      <c r="J3" s="882"/>
      <c r="K3" s="882"/>
      <c r="L3" s="882"/>
      <c r="M3" s="882" t="s">
        <v>13</v>
      </c>
      <c r="N3" s="882"/>
      <c r="O3" s="882"/>
      <c r="P3" s="882"/>
      <c r="Q3" s="882"/>
      <c r="R3" s="9"/>
      <c r="S3" s="9"/>
      <c r="T3" s="9"/>
      <c r="U3" s="9"/>
      <c r="V3" s="8"/>
      <c r="W3" s="9"/>
      <c r="X3" s="15"/>
      <c r="Z3" s="116"/>
      <c r="AA3" s="9"/>
      <c r="AB3" s="9"/>
      <c r="AC3" s="9"/>
      <c r="AD3" s="9"/>
      <c r="AE3" s="9"/>
      <c r="AF3" s="9"/>
      <c r="AG3" s="9"/>
      <c r="AH3" s="9"/>
      <c r="AI3" s="9"/>
      <c r="AJ3" s="9"/>
      <c r="AK3" s="9"/>
      <c r="AL3" s="57"/>
    </row>
    <row r="4" spans="2:38" ht="73.5" x14ac:dyDescent="0.25">
      <c r="B4" s="44" t="s">
        <v>214</v>
      </c>
      <c r="C4" s="12" t="s">
        <v>21</v>
      </c>
      <c r="D4" s="12" t="s">
        <v>20</v>
      </c>
      <c r="E4" s="12" t="s">
        <v>19</v>
      </c>
      <c r="F4" s="12" t="s">
        <v>18</v>
      </c>
      <c r="G4" s="12" t="s">
        <v>23</v>
      </c>
      <c r="H4" s="12" t="s">
        <v>17</v>
      </c>
      <c r="I4" s="12" t="s">
        <v>16</v>
      </c>
      <c r="J4" s="12" t="s">
        <v>25</v>
      </c>
      <c r="K4" s="12" t="s">
        <v>215</v>
      </c>
      <c r="L4" s="12" t="s">
        <v>15</v>
      </c>
      <c r="M4" s="151" t="s">
        <v>37</v>
      </c>
      <c r="N4" s="12" t="s">
        <v>38</v>
      </c>
      <c r="O4" s="12" t="s">
        <v>39</v>
      </c>
      <c r="P4" s="12" t="s">
        <v>40</v>
      </c>
      <c r="Q4" s="152" t="s">
        <v>41</v>
      </c>
      <c r="R4" s="12" t="s">
        <v>216</v>
      </c>
      <c r="S4" s="12" t="s">
        <v>217</v>
      </c>
      <c r="T4" s="12" t="s">
        <v>218</v>
      </c>
      <c r="U4" s="12" t="s">
        <v>219</v>
      </c>
      <c r="V4" s="12" t="s">
        <v>220</v>
      </c>
      <c r="W4" s="12" t="s">
        <v>221</v>
      </c>
      <c r="X4" s="43" t="s">
        <v>237</v>
      </c>
      <c r="Z4" s="117" t="s">
        <v>60</v>
      </c>
      <c r="AA4" s="118" t="s">
        <v>388</v>
      </c>
      <c r="AB4" s="118" t="s">
        <v>389</v>
      </c>
      <c r="AC4" s="118" t="s">
        <v>390</v>
      </c>
      <c r="AD4" s="118" t="s">
        <v>391</v>
      </c>
      <c r="AE4" s="118" t="s">
        <v>662</v>
      </c>
      <c r="AF4" s="118" t="s">
        <v>392</v>
      </c>
      <c r="AG4" s="118" t="s">
        <v>393</v>
      </c>
      <c r="AH4" s="118" t="s">
        <v>394</v>
      </c>
      <c r="AI4" s="118" t="s">
        <v>395</v>
      </c>
      <c r="AJ4" s="118" t="s">
        <v>396</v>
      </c>
      <c r="AK4" s="119" t="str">
        <f>AJ29</f>
        <v>GM created #1</v>
      </c>
      <c r="AL4" s="120" t="str">
        <f>AJ30</f>
        <v>GM created #2</v>
      </c>
    </row>
    <row r="5" spans="2:38" x14ac:dyDescent="0.25">
      <c r="B5" s="14" t="s">
        <v>222</v>
      </c>
      <c r="C5" s="61">
        <v>-1</v>
      </c>
      <c r="D5" s="61">
        <v>4</v>
      </c>
      <c r="E5" s="61">
        <v>-4</v>
      </c>
      <c r="F5" s="61"/>
      <c r="G5" s="61"/>
      <c r="H5" s="61">
        <v>-2</v>
      </c>
      <c r="I5" s="61">
        <v>-2</v>
      </c>
      <c r="J5" s="61"/>
      <c r="K5" s="61"/>
      <c r="L5" s="61">
        <v>1</v>
      </c>
      <c r="M5" s="153"/>
      <c r="N5" s="61">
        <v>20</v>
      </c>
      <c r="O5" s="61">
        <v>20</v>
      </c>
      <c r="P5" s="61">
        <v>10</v>
      </c>
      <c r="Q5" s="154">
        <v>5</v>
      </c>
      <c r="R5" s="61" t="s">
        <v>223</v>
      </c>
      <c r="S5" s="61" t="s">
        <v>276</v>
      </c>
      <c r="T5" s="8">
        <v>30</v>
      </c>
      <c r="U5" s="8" t="s">
        <v>224</v>
      </c>
      <c r="V5" s="8">
        <v>300</v>
      </c>
      <c r="W5" s="8">
        <v>10</v>
      </c>
      <c r="X5" s="45">
        <v>-10</v>
      </c>
      <c r="Z5" s="121" t="s">
        <v>68</v>
      </c>
      <c r="AA5" s="122">
        <v>10</v>
      </c>
      <c r="AB5" s="122">
        <v>10</v>
      </c>
      <c r="AC5" s="122">
        <v>10</v>
      </c>
      <c r="AD5" s="122">
        <v>10</v>
      </c>
      <c r="AE5" s="122">
        <v>10</v>
      </c>
      <c r="AF5" s="122">
        <v>10</v>
      </c>
      <c r="AG5" s="122">
        <v>10</v>
      </c>
      <c r="AH5" s="122">
        <v>10</v>
      </c>
      <c r="AI5" s="122">
        <v>10</v>
      </c>
      <c r="AJ5" s="123">
        <v>10</v>
      </c>
      <c r="AK5" s="187">
        <v>10</v>
      </c>
      <c r="AL5" s="188">
        <v>10</v>
      </c>
    </row>
    <row r="6" spans="2:38" x14ac:dyDescent="0.25">
      <c r="B6" s="14" t="s">
        <v>225</v>
      </c>
      <c r="C6" s="61">
        <v>2</v>
      </c>
      <c r="D6" s="61"/>
      <c r="E6" s="61">
        <v>2</v>
      </c>
      <c r="F6" s="61"/>
      <c r="G6" s="61">
        <v>2</v>
      </c>
      <c r="H6" s="61">
        <v>2</v>
      </c>
      <c r="I6" s="61">
        <v>2</v>
      </c>
      <c r="J6" s="61"/>
      <c r="K6" s="61">
        <v>-4</v>
      </c>
      <c r="L6" s="61">
        <v>-2</v>
      </c>
      <c r="M6" s="153">
        <v>-5</v>
      </c>
      <c r="N6" s="61">
        <v>-5</v>
      </c>
      <c r="O6" s="61">
        <v>-5</v>
      </c>
      <c r="P6" s="61">
        <v>10</v>
      </c>
      <c r="Q6" s="154"/>
      <c r="R6" s="61" t="s">
        <v>223</v>
      </c>
      <c r="S6" s="61" t="s">
        <v>277</v>
      </c>
      <c r="T6" s="8">
        <v>20</v>
      </c>
      <c r="U6" s="8" t="s">
        <v>226</v>
      </c>
      <c r="V6" s="8" t="s">
        <v>227</v>
      </c>
      <c r="W6" s="8">
        <v>5</v>
      </c>
      <c r="X6" s="15">
        <v>5</v>
      </c>
      <c r="Z6" s="124" t="s">
        <v>397</v>
      </c>
      <c r="AA6" s="112">
        <v>3</v>
      </c>
      <c r="AB6" s="112">
        <v>3</v>
      </c>
      <c r="AC6" s="112">
        <v>3</v>
      </c>
      <c r="AD6" s="112">
        <v>3</v>
      </c>
      <c r="AE6" s="112">
        <v>3</v>
      </c>
      <c r="AF6" s="112">
        <v>3</v>
      </c>
      <c r="AG6" s="112">
        <v>3</v>
      </c>
      <c r="AH6" s="112">
        <v>3</v>
      </c>
      <c r="AI6" s="112">
        <v>3</v>
      </c>
      <c r="AJ6" s="125">
        <v>3</v>
      </c>
      <c r="AK6" s="187">
        <v>3</v>
      </c>
      <c r="AL6" s="188">
        <v>3</v>
      </c>
    </row>
    <row r="7" spans="2:38" x14ac:dyDescent="0.25">
      <c r="B7" s="14" t="s">
        <v>228</v>
      </c>
      <c r="C7" s="61">
        <v>3</v>
      </c>
      <c r="D7" s="61">
        <v>2</v>
      </c>
      <c r="E7" s="61" t="s">
        <v>229</v>
      </c>
      <c r="F7" s="61"/>
      <c r="G7" s="61"/>
      <c r="H7" s="61">
        <v>-2</v>
      </c>
      <c r="I7" s="61">
        <v>1</v>
      </c>
      <c r="J7" s="61"/>
      <c r="K7" s="61">
        <v>-2</v>
      </c>
      <c r="L7" s="61">
        <v>1</v>
      </c>
      <c r="M7" s="153"/>
      <c r="N7" s="61"/>
      <c r="O7" s="61"/>
      <c r="P7" s="61">
        <v>5</v>
      </c>
      <c r="Q7" s="154">
        <v>5</v>
      </c>
      <c r="R7" s="61" t="s">
        <v>230</v>
      </c>
      <c r="S7" s="61"/>
      <c r="T7" s="8">
        <v>25</v>
      </c>
      <c r="U7" s="8" t="s">
        <v>224</v>
      </c>
      <c r="V7" s="8">
        <v>80</v>
      </c>
      <c r="W7" s="8">
        <v>60</v>
      </c>
      <c r="X7" s="45">
        <v>-20</v>
      </c>
      <c r="Z7" s="124" t="s">
        <v>627</v>
      </c>
      <c r="AA7" s="112">
        <v>2</v>
      </c>
      <c r="AB7" s="112">
        <v>1</v>
      </c>
      <c r="AC7" s="112">
        <v>1</v>
      </c>
      <c r="AD7" s="112">
        <v>1</v>
      </c>
      <c r="AE7" s="112">
        <v>1</v>
      </c>
      <c r="AF7" s="112">
        <v>1</v>
      </c>
      <c r="AG7" s="112">
        <v>1</v>
      </c>
      <c r="AH7" s="112">
        <v>2</v>
      </c>
      <c r="AI7" s="112">
        <v>1</v>
      </c>
      <c r="AJ7" s="125">
        <v>1</v>
      </c>
      <c r="AK7" s="189"/>
      <c r="AL7" s="190"/>
    </row>
    <row r="8" spans="2:38" x14ac:dyDescent="0.25">
      <c r="B8" s="14" t="s">
        <v>231</v>
      </c>
      <c r="C8" s="61">
        <v>4</v>
      </c>
      <c r="D8" s="61">
        <v>3</v>
      </c>
      <c r="E8" s="61">
        <v>-2</v>
      </c>
      <c r="F8" s="61"/>
      <c r="G8" s="61"/>
      <c r="H8" s="61">
        <v>-4</v>
      </c>
      <c r="I8" s="61">
        <v>4</v>
      </c>
      <c r="J8" s="61"/>
      <c r="K8" s="61">
        <v>-4</v>
      </c>
      <c r="L8" s="61">
        <v>-4</v>
      </c>
      <c r="M8" s="153"/>
      <c r="N8" s="61">
        <v>25</v>
      </c>
      <c r="O8" s="61">
        <v>20</v>
      </c>
      <c r="P8" s="61">
        <v>15</v>
      </c>
      <c r="Q8" s="154">
        <v>5</v>
      </c>
      <c r="R8" s="61" t="s">
        <v>223</v>
      </c>
      <c r="S8" s="61"/>
      <c r="T8" s="8">
        <v>25</v>
      </c>
      <c r="U8" s="8" t="s">
        <v>232</v>
      </c>
      <c r="V8" s="8">
        <v>110</v>
      </c>
      <c r="W8" s="8">
        <v>20</v>
      </c>
      <c r="X8" s="45">
        <v>-15</v>
      </c>
      <c r="Z8" s="124" t="s">
        <v>628</v>
      </c>
      <c r="AA8" s="112">
        <v>2</v>
      </c>
      <c r="AB8" s="112"/>
      <c r="AC8" s="112"/>
      <c r="AD8" s="112"/>
      <c r="AE8" s="112"/>
      <c r="AF8" s="112"/>
      <c r="AG8" s="112">
        <v>1</v>
      </c>
      <c r="AH8" s="112"/>
      <c r="AI8" s="112">
        <v>1</v>
      </c>
      <c r="AJ8" s="125">
        <v>1</v>
      </c>
      <c r="AK8" s="189"/>
      <c r="AL8" s="190"/>
    </row>
    <row r="9" spans="2:38" x14ac:dyDescent="0.25">
      <c r="B9" s="14" t="s">
        <v>233</v>
      </c>
      <c r="C9" s="61"/>
      <c r="D9" s="61"/>
      <c r="E9" s="61"/>
      <c r="F9" s="61"/>
      <c r="G9" s="61"/>
      <c r="H9" s="61"/>
      <c r="I9" s="61"/>
      <c r="J9" s="61"/>
      <c r="K9" s="61"/>
      <c r="L9" s="61"/>
      <c r="M9" s="153"/>
      <c r="N9" s="61"/>
      <c r="O9" s="61"/>
      <c r="P9" s="61"/>
      <c r="Q9" s="154"/>
      <c r="R9" s="61" t="s">
        <v>223</v>
      </c>
      <c r="S9" s="61"/>
      <c r="T9" s="8">
        <v>25</v>
      </c>
      <c r="U9" s="8" t="s">
        <v>232</v>
      </c>
      <c r="V9" s="8">
        <v>100</v>
      </c>
      <c r="W9" s="8">
        <v>50</v>
      </c>
      <c r="X9" s="45">
        <v>0</v>
      </c>
      <c r="Z9" s="124" t="s">
        <v>398</v>
      </c>
      <c r="AA9" s="112">
        <v>1</v>
      </c>
      <c r="AB9" s="112">
        <v>1</v>
      </c>
      <c r="AC9" s="112">
        <v>1</v>
      </c>
      <c r="AD9" s="112">
        <v>1</v>
      </c>
      <c r="AE9" s="112">
        <v>1</v>
      </c>
      <c r="AF9" s="112">
        <v>1</v>
      </c>
      <c r="AG9" s="112">
        <v>1</v>
      </c>
      <c r="AH9" s="112">
        <v>1</v>
      </c>
      <c r="AI9" s="112">
        <v>1</v>
      </c>
      <c r="AJ9" s="125">
        <v>1</v>
      </c>
      <c r="AK9" s="187">
        <v>1</v>
      </c>
      <c r="AL9" s="188">
        <v>1</v>
      </c>
    </row>
    <row r="10" spans="2:38" x14ac:dyDescent="0.25">
      <c r="B10" s="14" t="s">
        <v>234</v>
      </c>
      <c r="C10" s="61"/>
      <c r="D10" s="61">
        <v>4</v>
      </c>
      <c r="E10" s="61">
        <v>-2</v>
      </c>
      <c r="F10" s="61"/>
      <c r="G10" s="61">
        <v>-2</v>
      </c>
      <c r="H10" s="61">
        <v>-2</v>
      </c>
      <c r="I10" s="61"/>
      <c r="J10" s="61">
        <v>-2</v>
      </c>
      <c r="K10" s="61">
        <v>-4</v>
      </c>
      <c r="L10" s="61">
        <v>2</v>
      </c>
      <c r="M10" s="153"/>
      <c r="N10" s="61"/>
      <c r="O10" s="61"/>
      <c r="P10" s="61">
        <v>5</v>
      </c>
      <c r="Q10" s="154">
        <v>10</v>
      </c>
      <c r="R10" s="61" t="s">
        <v>223</v>
      </c>
      <c r="S10" s="61"/>
      <c r="T10" s="8">
        <v>25</v>
      </c>
      <c r="U10" s="8" t="s">
        <v>224</v>
      </c>
      <c r="V10" s="8">
        <v>200</v>
      </c>
      <c r="W10" s="8">
        <v>50</v>
      </c>
      <c r="X10" s="45">
        <v>0</v>
      </c>
      <c r="Z10" s="124" t="s">
        <v>399</v>
      </c>
      <c r="AA10" s="112">
        <v>1</v>
      </c>
      <c r="AB10" s="112">
        <v>2</v>
      </c>
      <c r="AC10" s="112">
        <v>2</v>
      </c>
      <c r="AD10" s="112">
        <v>1</v>
      </c>
      <c r="AE10" s="112">
        <v>1</v>
      </c>
      <c r="AF10" s="112">
        <v>2</v>
      </c>
      <c r="AG10" s="112">
        <v>1</v>
      </c>
      <c r="AH10" s="112">
        <v>1</v>
      </c>
      <c r="AI10" s="112">
        <v>1</v>
      </c>
      <c r="AJ10" s="125">
        <v>1</v>
      </c>
      <c r="AK10" s="189"/>
      <c r="AL10" s="190"/>
    </row>
    <row r="11" spans="2:38" ht="15.75" thickBot="1" x14ac:dyDescent="0.3">
      <c r="B11" s="16" t="s">
        <v>235</v>
      </c>
      <c r="C11" s="62"/>
      <c r="D11" s="62"/>
      <c r="E11" s="62">
        <v>-4</v>
      </c>
      <c r="F11" s="62"/>
      <c r="G11" s="62">
        <v>-2</v>
      </c>
      <c r="H11" s="62"/>
      <c r="I11" s="62"/>
      <c r="J11" s="62">
        <v>-2</v>
      </c>
      <c r="K11" s="62">
        <v>-2</v>
      </c>
      <c r="L11" s="62">
        <v>4</v>
      </c>
      <c r="M11" s="155">
        <v>-10</v>
      </c>
      <c r="N11" s="62">
        <v>-10</v>
      </c>
      <c r="O11" s="62">
        <v>-10</v>
      </c>
      <c r="P11" s="62">
        <v>15</v>
      </c>
      <c r="Q11" s="156">
        <v>15</v>
      </c>
      <c r="R11" s="62" t="s">
        <v>236</v>
      </c>
      <c r="S11" s="62" t="s">
        <v>278</v>
      </c>
      <c r="T11" s="18">
        <v>25</v>
      </c>
      <c r="U11" s="18" t="s">
        <v>226</v>
      </c>
      <c r="V11" s="18">
        <v>200</v>
      </c>
      <c r="W11" s="18">
        <v>25</v>
      </c>
      <c r="X11" s="46">
        <v>20</v>
      </c>
      <c r="Z11" s="124" t="s">
        <v>400</v>
      </c>
      <c r="AA11" s="112">
        <v>1</v>
      </c>
      <c r="AB11" s="112">
        <v>2</v>
      </c>
      <c r="AC11" s="112">
        <v>2</v>
      </c>
      <c r="AD11" s="112">
        <v>1</v>
      </c>
      <c r="AE11" s="112">
        <v>2</v>
      </c>
      <c r="AF11" s="112">
        <v>1</v>
      </c>
      <c r="AG11" s="112">
        <v>1</v>
      </c>
      <c r="AH11" s="112">
        <v>1</v>
      </c>
      <c r="AI11" s="112">
        <v>1</v>
      </c>
      <c r="AJ11" s="125">
        <v>1</v>
      </c>
      <c r="AK11" s="189"/>
      <c r="AL11" s="190"/>
    </row>
    <row r="12" spans="2:38" x14ac:dyDescent="0.25">
      <c r="Z12" s="124" t="s">
        <v>401</v>
      </c>
      <c r="AA12" s="112"/>
      <c r="AB12" s="112">
        <v>1</v>
      </c>
      <c r="AC12" s="112">
        <v>1</v>
      </c>
      <c r="AD12" s="112">
        <v>1</v>
      </c>
      <c r="AE12" s="112">
        <v>1</v>
      </c>
      <c r="AF12" s="112">
        <v>1</v>
      </c>
      <c r="AG12" s="112">
        <v>1</v>
      </c>
      <c r="AH12" s="112">
        <v>1</v>
      </c>
      <c r="AI12" s="112">
        <v>1</v>
      </c>
      <c r="AJ12" s="125">
        <v>1</v>
      </c>
      <c r="AK12" s="189"/>
      <c r="AL12" s="190"/>
    </row>
    <row r="13" spans="2:38" x14ac:dyDescent="0.25">
      <c r="Z13" s="124" t="s">
        <v>85</v>
      </c>
      <c r="AA13" s="112"/>
      <c r="AB13" s="112"/>
      <c r="AC13" s="112">
        <v>1</v>
      </c>
      <c r="AD13" s="112"/>
      <c r="AE13" s="112">
        <v>1</v>
      </c>
      <c r="AF13" s="112"/>
      <c r="AG13" s="112">
        <v>1</v>
      </c>
      <c r="AH13" s="112">
        <v>1</v>
      </c>
      <c r="AI13" s="112"/>
      <c r="AJ13" s="125"/>
      <c r="AK13" s="189"/>
      <c r="AL13" s="190"/>
    </row>
    <row r="14" spans="2:38" x14ac:dyDescent="0.25">
      <c r="Z14" s="124" t="s">
        <v>86</v>
      </c>
      <c r="AA14" s="112"/>
      <c r="AB14" s="112"/>
      <c r="AC14" s="112"/>
      <c r="AD14" s="112"/>
      <c r="AE14" s="112">
        <v>2</v>
      </c>
      <c r="AF14" s="112"/>
      <c r="AG14" s="112">
        <v>1</v>
      </c>
      <c r="AH14" s="112"/>
      <c r="AI14" s="112"/>
      <c r="AJ14" s="125"/>
      <c r="AK14" s="189"/>
      <c r="AL14" s="190"/>
    </row>
    <row r="15" spans="2:38" x14ac:dyDescent="0.25">
      <c r="Z15" s="124" t="s">
        <v>402</v>
      </c>
      <c r="AA15" s="112">
        <v>1</v>
      </c>
      <c r="AB15" s="112">
        <v>2</v>
      </c>
      <c r="AC15" s="112">
        <v>1</v>
      </c>
      <c r="AD15" s="112">
        <v>1</v>
      </c>
      <c r="AE15" s="112">
        <v>1</v>
      </c>
      <c r="AF15" s="112">
        <v>1</v>
      </c>
      <c r="AG15" s="112"/>
      <c r="AH15" s="112">
        <v>1</v>
      </c>
      <c r="AI15" s="112">
        <v>1</v>
      </c>
      <c r="AJ15" s="125">
        <v>1</v>
      </c>
      <c r="AK15" s="189"/>
      <c r="AL15" s="190"/>
    </row>
    <row r="16" spans="2:38" x14ac:dyDescent="0.25">
      <c r="Z16" s="124" t="s">
        <v>403</v>
      </c>
      <c r="AA16" s="112"/>
      <c r="AB16" s="112"/>
      <c r="AC16" s="112"/>
      <c r="AD16" s="112">
        <v>1</v>
      </c>
      <c r="AE16" s="112"/>
      <c r="AF16" s="112"/>
      <c r="AG16" s="112"/>
      <c r="AH16" s="112"/>
      <c r="AI16" s="112"/>
      <c r="AJ16" s="125"/>
      <c r="AK16" s="189"/>
      <c r="AL16" s="190"/>
    </row>
    <row r="17" spans="26:38" x14ac:dyDescent="0.25">
      <c r="Z17" s="124" t="s">
        <v>112</v>
      </c>
      <c r="AA17" s="112"/>
      <c r="AB17" s="112">
        <v>1</v>
      </c>
      <c r="AC17" s="112">
        <v>1</v>
      </c>
      <c r="AD17" s="112">
        <v>1</v>
      </c>
      <c r="AE17" s="112">
        <v>1</v>
      </c>
      <c r="AF17" s="112">
        <v>1</v>
      </c>
      <c r="AG17" s="112">
        <v>1</v>
      </c>
      <c r="AH17" s="112">
        <v>1</v>
      </c>
      <c r="AI17" s="112">
        <v>1</v>
      </c>
      <c r="AJ17" s="125"/>
      <c r="AK17" s="189"/>
      <c r="AL17" s="190"/>
    </row>
    <row r="18" spans="26:38" x14ac:dyDescent="0.25">
      <c r="Z18" s="124" t="s">
        <v>404</v>
      </c>
      <c r="AA18" s="112"/>
      <c r="AB18" s="112">
        <v>1</v>
      </c>
      <c r="AC18" s="112"/>
      <c r="AD18" s="112"/>
      <c r="AE18" s="112"/>
      <c r="AF18" s="112">
        <v>1</v>
      </c>
      <c r="AG18" s="112"/>
      <c r="AH18" s="112">
        <v>1</v>
      </c>
      <c r="AI18" s="112"/>
      <c r="AJ18" s="125"/>
      <c r="AK18" s="189"/>
      <c r="AL18" s="190"/>
    </row>
    <row r="19" spans="26:38" x14ac:dyDescent="0.25">
      <c r="Z19" s="124" t="s">
        <v>405</v>
      </c>
      <c r="AA19" s="112">
        <v>1</v>
      </c>
      <c r="AB19" s="112"/>
      <c r="AC19" s="112"/>
      <c r="AD19" s="112"/>
      <c r="AE19" s="112"/>
      <c r="AF19" s="112"/>
      <c r="AG19" s="112"/>
      <c r="AH19" s="112"/>
      <c r="AI19" s="112"/>
      <c r="AJ19" s="125">
        <v>1</v>
      </c>
      <c r="AK19" s="189"/>
      <c r="AL19" s="190"/>
    </row>
    <row r="20" spans="26:38" x14ac:dyDescent="0.25">
      <c r="Z20" s="124" t="s">
        <v>406</v>
      </c>
      <c r="AA20" s="112"/>
      <c r="AB20" s="112"/>
      <c r="AC20" s="112"/>
      <c r="AD20" s="112"/>
      <c r="AE20" s="112"/>
      <c r="AF20" s="112">
        <v>1</v>
      </c>
      <c r="AG20" s="112"/>
      <c r="AH20" s="112">
        <v>1</v>
      </c>
      <c r="AI20" s="112">
        <v>1</v>
      </c>
      <c r="AJ20" s="125"/>
      <c r="AK20" s="189"/>
      <c r="AL20" s="190"/>
    </row>
    <row r="21" spans="26:38" x14ac:dyDescent="0.25">
      <c r="Z21" s="124" t="s">
        <v>629</v>
      </c>
      <c r="AA21" s="112">
        <v>1</v>
      </c>
      <c r="AB21" s="112"/>
      <c r="AC21" s="112">
        <v>1</v>
      </c>
      <c r="AD21" s="112">
        <v>2</v>
      </c>
      <c r="AE21" s="112">
        <v>1</v>
      </c>
      <c r="AF21" s="112">
        <v>1</v>
      </c>
      <c r="AG21" s="112">
        <v>2</v>
      </c>
      <c r="AH21" s="112">
        <v>2</v>
      </c>
      <c r="AI21" s="112">
        <v>2</v>
      </c>
      <c r="AJ21" s="125">
        <v>1</v>
      </c>
      <c r="AK21" s="189"/>
      <c r="AL21" s="190"/>
    </row>
    <row r="22" spans="26:38" x14ac:dyDescent="0.25">
      <c r="Z22" s="124" t="s">
        <v>630</v>
      </c>
      <c r="AA22" s="112">
        <v>1</v>
      </c>
      <c r="AB22" s="112"/>
      <c r="AC22" s="112">
        <v>1</v>
      </c>
      <c r="AD22" s="112">
        <v>1</v>
      </c>
      <c r="AE22" s="112"/>
      <c r="AF22" s="112"/>
      <c r="AG22" s="112">
        <v>1</v>
      </c>
      <c r="AH22" s="112"/>
      <c r="AI22" s="112">
        <v>1</v>
      </c>
      <c r="AJ22" s="125">
        <v>1</v>
      </c>
      <c r="AK22" s="189"/>
      <c r="AL22" s="190"/>
    </row>
    <row r="23" spans="26:38" x14ac:dyDescent="0.25">
      <c r="Z23" s="124" t="s">
        <v>407</v>
      </c>
      <c r="AA23" s="112">
        <v>1</v>
      </c>
      <c r="AB23" s="112"/>
      <c r="AC23" s="112"/>
      <c r="AD23" s="112">
        <v>1</v>
      </c>
      <c r="AE23" s="112"/>
      <c r="AF23" s="112"/>
      <c r="AG23" s="112"/>
      <c r="AH23" s="112"/>
      <c r="AI23" s="112"/>
      <c r="AJ23" s="125">
        <v>1</v>
      </c>
      <c r="AK23" s="189"/>
      <c r="AL23" s="190"/>
    </row>
    <row r="24" spans="26:38" x14ac:dyDescent="0.25">
      <c r="Z24" s="124" t="s">
        <v>408</v>
      </c>
      <c r="AA24" s="112"/>
      <c r="AB24" s="112">
        <v>1</v>
      </c>
      <c r="AC24" s="112"/>
      <c r="AD24" s="112"/>
      <c r="AE24" s="112"/>
      <c r="AF24" s="112">
        <v>1</v>
      </c>
      <c r="AG24" s="112"/>
      <c r="AH24" s="112"/>
      <c r="AI24" s="112"/>
      <c r="AJ24" s="125"/>
      <c r="AK24" s="189"/>
      <c r="AL24" s="190"/>
    </row>
    <row r="25" spans="26:38" x14ac:dyDescent="0.25">
      <c r="Z25" s="124" t="s">
        <v>631</v>
      </c>
      <c r="AA25" s="112">
        <v>1</v>
      </c>
      <c r="AB25" s="112">
        <v>1</v>
      </c>
      <c r="AC25" s="112">
        <v>1</v>
      </c>
      <c r="AD25" s="112">
        <v>2</v>
      </c>
      <c r="AE25" s="112">
        <v>1</v>
      </c>
      <c r="AF25" s="112">
        <v>1</v>
      </c>
      <c r="AG25" s="112">
        <v>2</v>
      </c>
      <c r="AH25" s="112">
        <v>1</v>
      </c>
      <c r="AI25" s="112">
        <v>2</v>
      </c>
      <c r="AJ25" s="125">
        <v>2</v>
      </c>
      <c r="AK25" s="189"/>
      <c r="AL25" s="190"/>
    </row>
    <row r="26" spans="26:38" x14ac:dyDescent="0.25">
      <c r="Z26" s="126" t="s">
        <v>632</v>
      </c>
      <c r="AA26" s="127">
        <v>1</v>
      </c>
      <c r="AB26" s="127"/>
      <c r="AC26" s="127"/>
      <c r="AD26" s="127"/>
      <c r="AE26" s="127">
        <v>1</v>
      </c>
      <c r="AF26" s="127">
        <v>1</v>
      </c>
      <c r="AG26" s="127"/>
      <c r="AH26" s="127"/>
      <c r="AI26" s="127"/>
      <c r="AJ26" s="128"/>
      <c r="AK26" s="189"/>
      <c r="AL26" s="190"/>
    </row>
    <row r="27" spans="26:38" x14ac:dyDescent="0.25">
      <c r="Z27" s="296" t="str">
        <f>AJ29</f>
        <v>GM created #1</v>
      </c>
      <c r="AA27" s="217"/>
      <c r="AB27" s="217"/>
      <c r="AC27" s="217"/>
      <c r="AD27" s="217"/>
      <c r="AE27" s="217"/>
      <c r="AF27" s="217"/>
      <c r="AG27" s="217"/>
      <c r="AH27" s="217"/>
      <c r="AI27" s="217"/>
      <c r="AJ27" s="217"/>
      <c r="AK27" s="189"/>
      <c r="AL27" s="190"/>
    </row>
    <row r="28" spans="26:38" ht="15.75" thickBot="1" x14ac:dyDescent="0.3">
      <c r="Z28" s="297" t="str">
        <f>AJ30</f>
        <v>GM created #2</v>
      </c>
      <c r="AA28" s="218"/>
      <c r="AB28" s="218"/>
      <c r="AC28" s="218"/>
      <c r="AD28" s="218"/>
      <c r="AE28" s="218"/>
      <c r="AF28" s="218"/>
      <c r="AG28" s="218"/>
      <c r="AH28" s="218"/>
      <c r="AI28" s="218"/>
      <c r="AJ28" s="218"/>
      <c r="AK28" s="219"/>
      <c r="AL28" s="220"/>
    </row>
    <row r="29" spans="26:38" ht="15.75" thickBot="1" x14ac:dyDescent="0.3">
      <c r="Z29" s="129" t="s">
        <v>409</v>
      </c>
      <c r="AA29" s="130" t="str">
        <f>IF(Character!D8="","",Character!D8)</f>
        <v>--</v>
      </c>
      <c r="AE29" s="876" t="s">
        <v>415</v>
      </c>
      <c r="AF29" s="877"/>
      <c r="AG29" s="877"/>
      <c r="AH29" s="877"/>
      <c r="AI29" s="878"/>
      <c r="AJ29" s="872" t="s">
        <v>413</v>
      </c>
      <c r="AK29" s="873"/>
    </row>
    <row r="30" spans="26:38" ht="15.75" thickBot="1" x14ac:dyDescent="0.3">
      <c r="AE30" s="876" t="s">
        <v>416</v>
      </c>
      <c r="AF30" s="877"/>
      <c r="AG30" s="877"/>
      <c r="AH30" s="877"/>
      <c r="AI30" s="878"/>
      <c r="AJ30" s="874" t="s">
        <v>414</v>
      </c>
      <c r="AK30" s="875"/>
    </row>
  </sheetData>
  <sheetProtection sheet="1" objects="1" scenarios="1"/>
  <mergeCells count="8">
    <mergeCell ref="AJ29:AK29"/>
    <mergeCell ref="AJ30:AK30"/>
    <mergeCell ref="AE29:AI29"/>
    <mergeCell ref="AE30:AI30"/>
    <mergeCell ref="B2:X2"/>
    <mergeCell ref="C3:L3"/>
    <mergeCell ref="M3:Q3"/>
    <mergeCell ref="Z2:AL2"/>
  </mergeCells>
  <conditionalFormatting sqref="AA4:AL4">
    <cfRule type="cellIs" dxfId="0" priority="1" operator="equal">
      <formula>$AA$29</formula>
    </cfRule>
  </conditionalFormatting>
  <pageMargins left="0.7" right="0.7" top="0.75" bottom="0.75" header="0.3" footer="0.3"/>
  <pageSetup scale="80" orientation="portrait" r:id="rId1"/>
  <ignoredErrors>
    <ignoredError sqref="D6 E5:K5 D9:R9 E7:H7 E8:H8 D11:K11 E10:K10 F6 J6:O6 J7:K7 J8:M8 M10:O10 M11:O11 M5 M7:O7 R8 R7 Q6:R6 R5 R10 R11 T5:W5 T6:W6 T11:W11 T9:W9 T8:W8 T7:W7 T10:W10 S7 S8 S9 S5:S6 S11" numberStoredAsText="1"/>
    <ignoredError sqref="Z27:Z28"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O104"/>
  <sheetViews>
    <sheetView showGridLines="0" workbookViewId="0">
      <selection activeCell="AF5" sqref="AF5"/>
    </sheetView>
  </sheetViews>
  <sheetFormatPr defaultRowHeight="15" x14ac:dyDescent="0.25"/>
  <cols>
    <col min="1" max="1" width="3.7109375" style="342" customWidth="1"/>
    <col min="2" max="4" width="6.42578125" style="341" customWidth="1"/>
    <col min="5" max="5" width="3.7109375" style="342" customWidth="1"/>
    <col min="6" max="7" width="7.7109375" style="341" customWidth="1"/>
    <col min="8" max="8" width="3.7109375" style="342" customWidth="1"/>
    <col min="9" max="9" width="14.7109375" style="342" bestFit="1" customWidth="1"/>
    <col min="10" max="10" width="9.140625" style="341"/>
    <col min="11" max="11" width="3.7109375" style="342" customWidth="1"/>
    <col min="12" max="12" width="14.5703125" style="342" customWidth="1"/>
    <col min="13" max="13" width="11.7109375" style="341" customWidth="1"/>
    <col min="14" max="14" width="3.7109375" style="342" customWidth="1"/>
    <col min="15" max="16" width="9.140625" style="341"/>
    <col min="17" max="17" width="4.140625" style="342" customWidth="1"/>
    <col min="18" max="18" width="8.42578125" style="342" bestFit="1" customWidth="1"/>
    <col min="19" max="22" width="6.42578125" style="342" bestFit="1" customWidth="1"/>
    <col min="23" max="23" width="9.28515625" style="342" bestFit="1" customWidth="1"/>
    <col min="24" max="25" width="6.42578125" style="342" bestFit="1" customWidth="1"/>
    <col min="26" max="26" width="9.140625" style="342"/>
    <col min="27" max="27" width="13.85546875" style="342" customWidth="1"/>
    <col min="28" max="28" width="17.140625" style="342" customWidth="1"/>
    <col min="29" max="29" width="18.5703125" style="342" customWidth="1"/>
    <col min="30" max="30" width="13" style="342" customWidth="1"/>
    <col min="31" max="31" width="12.140625" style="342" customWidth="1"/>
    <col min="32" max="32" width="13.7109375" style="342" customWidth="1"/>
    <col min="33" max="33" width="15.85546875" style="342" customWidth="1"/>
    <col min="34" max="34" width="16" style="342" customWidth="1"/>
    <col min="35" max="35" width="14.140625" style="342" customWidth="1"/>
    <col min="36" max="37" width="13.5703125" style="342" customWidth="1"/>
    <col min="38" max="38" width="14.140625" style="342" customWidth="1"/>
    <col min="39" max="41" width="11.7109375" style="342" customWidth="1"/>
    <col min="42" max="16384" width="9.140625" style="342"/>
  </cols>
  <sheetData>
    <row r="1" spans="2:41" ht="15.75" thickBot="1" x14ac:dyDescent="0.3"/>
    <row r="2" spans="2:41" x14ac:dyDescent="0.25">
      <c r="B2" s="885" t="s">
        <v>55</v>
      </c>
      <c r="C2" s="886"/>
      <c r="D2" s="887"/>
      <c r="F2" s="885" t="s">
        <v>181</v>
      </c>
      <c r="G2" s="887"/>
      <c r="I2" s="885" t="s">
        <v>194</v>
      </c>
      <c r="J2" s="887"/>
      <c r="L2" s="885" t="s">
        <v>208</v>
      </c>
      <c r="M2" s="887"/>
      <c r="O2" s="885" t="s">
        <v>213</v>
      </c>
      <c r="P2" s="887"/>
      <c r="R2" s="885" t="s">
        <v>339</v>
      </c>
      <c r="S2" s="886"/>
      <c r="T2" s="886"/>
      <c r="U2" s="886"/>
      <c r="V2" s="886"/>
      <c r="W2" s="886"/>
      <c r="X2" s="886"/>
      <c r="Y2" s="887"/>
      <c r="AA2" s="343" t="s">
        <v>354</v>
      </c>
      <c r="AB2" s="344" t="s">
        <v>376</v>
      </c>
      <c r="AC2" s="345" t="s">
        <v>384</v>
      </c>
      <c r="AD2" s="346" t="s">
        <v>377</v>
      </c>
      <c r="AE2" s="347" t="s">
        <v>378</v>
      </c>
      <c r="AF2" s="348" t="s">
        <v>379</v>
      </c>
      <c r="AG2" s="349" t="s">
        <v>380</v>
      </c>
      <c r="AH2" s="349" t="s">
        <v>381</v>
      </c>
      <c r="AI2" s="349" t="s">
        <v>382</v>
      </c>
      <c r="AJ2" s="350" t="s">
        <v>385</v>
      </c>
      <c r="AK2" s="351" t="s">
        <v>657</v>
      </c>
      <c r="AL2" s="352" t="s">
        <v>653</v>
      </c>
      <c r="AM2" s="353" t="s">
        <v>654</v>
      </c>
      <c r="AN2" s="353" t="s">
        <v>655</v>
      </c>
      <c r="AO2" s="353" t="s">
        <v>656</v>
      </c>
    </row>
    <row r="3" spans="2:41" x14ac:dyDescent="0.25">
      <c r="B3" s="354" t="s">
        <v>57</v>
      </c>
      <c r="C3" s="355" t="s">
        <v>9</v>
      </c>
      <c r="D3" s="356" t="s">
        <v>244</v>
      </c>
      <c r="F3" s="357" t="s">
        <v>57</v>
      </c>
      <c r="G3" s="358" t="s">
        <v>9</v>
      </c>
      <c r="I3" s="359" t="s">
        <v>195</v>
      </c>
      <c r="J3" s="360" t="s">
        <v>9</v>
      </c>
      <c r="L3" s="359" t="s">
        <v>60</v>
      </c>
      <c r="M3" s="360" t="s">
        <v>55</v>
      </c>
      <c r="O3" s="359" t="s">
        <v>61</v>
      </c>
      <c r="P3" s="360" t="s">
        <v>9</v>
      </c>
      <c r="R3" s="361"/>
      <c r="S3" s="362"/>
      <c r="T3" s="363" t="s">
        <v>329</v>
      </c>
      <c r="U3" s="363" t="s">
        <v>330</v>
      </c>
      <c r="V3" s="363" t="s">
        <v>331</v>
      </c>
      <c r="W3" s="363" t="s">
        <v>332</v>
      </c>
      <c r="X3" s="363" t="s">
        <v>333</v>
      </c>
      <c r="Y3" s="364" t="s">
        <v>334</v>
      </c>
      <c r="AA3" s="365" t="s">
        <v>357</v>
      </c>
      <c r="AB3" s="366">
        <v>1</v>
      </c>
      <c r="AC3" s="367" t="s">
        <v>357</v>
      </c>
      <c r="AD3" s="365" t="s">
        <v>357</v>
      </c>
      <c r="AE3" s="366">
        <v>0</v>
      </c>
      <c r="AF3" s="365">
        <v>0</v>
      </c>
      <c r="AG3" s="368">
        <v>0</v>
      </c>
      <c r="AH3" s="368">
        <v>0</v>
      </c>
      <c r="AI3" s="368">
        <v>0</v>
      </c>
      <c r="AJ3" s="368">
        <v>0</v>
      </c>
      <c r="AK3" s="368">
        <v>0</v>
      </c>
      <c r="AL3" s="369">
        <v>0</v>
      </c>
      <c r="AM3" s="369">
        <v>0</v>
      </c>
      <c r="AN3" s="369">
        <v>0</v>
      </c>
      <c r="AO3" s="370">
        <v>0</v>
      </c>
    </row>
    <row r="4" spans="2:41" x14ac:dyDescent="0.25">
      <c r="B4" s="371">
        <v>0</v>
      </c>
      <c r="C4" s="72">
        <v>0</v>
      </c>
      <c r="D4" s="74">
        <v>0</v>
      </c>
      <c r="F4" s="371" t="s">
        <v>184</v>
      </c>
      <c r="G4" s="74">
        <f>Ag</f>
        <v>0</v>
      </c>
      <c r="I4" s="372" t="s">
        <v>37</v>
      </c>
      <c r="J4" s="74">
        <f>In</f>
        <v>0</v>
      </c>
      <c r="L4" s="372" t="s">
        <v>203</v>
      </c>
      <c r="M4" s="74" t="s">
        <v>150</v>
      </c>
      <c r="O4" s="371">
        <v>0</v>
      </c>
      <c r="P4" s="74">
        <v>-25</v>
      </c>
      <c r="R4" s="888" t="s">
        <v>335</v>
      </c>
      <c r="S4" s="63" t="s">
        <v>336</v>
      </c>
      <c r="T4" s="63">
        <v>0</v>
      </c>
      <c r="U4" s="63">
        <v>5</v>
      </c>
      <c r="V4" s="63">
        <v>10</v>
      </c>
      <c r="W4" s="63">
        <v>15</v>
      </c>
      <c r="X4" s="63">
        <v>20</v>
      </c>
      <c r="Y4" s="373">
        <v>10</v>
      </c>
      <c r="AA4" s="374" t="s">
        <v>358</v>
      </c>
      <c r="AB4" s="375">
        <v>2</v>
      </c>
      <c r="AC4" s="376" t="s">
        <v>351</v>
      </c>
      <c r="AD4" s="374" t="s">
        <v>373</v>
      </c>
      <c r="AE4" s="375">
        <v>15</v>
      </c>
      <c r="AF4" s="374">
        <v>0</v>
      </c>
      <c r="AG4" s="377">
        <v>0</v>
      </c>
      <c r="AH4" s="377">
        <v>-5</v>
      </c>
      <c r="AI4" s="377">
        <v>0</v>
      </c>
      <c r="AJ4" s="377">
        <v>0</v>
      </c>
      <c r="AK4" s="377">
        <v>0</v>
      </c>
      <c r="AL4" s="378">
        <v>0.02</v>
      </c>
      <c r="AM4" s="378">
        <v>0.01</v>
      </c>
      <c r="AN4" s="378">
        <v>0.02</v>
      </c>
      <c r="AO4" s="379">
        <v>5.0000000000000001E-3</v>
      </c>
    </row>
    <row r="5" spans="2:41" ht="15" customHeight="1" x14ac:dyDescent="0.25">
      <c r="B5" s="371">
        <v>1</v>
      </c>
      <c r="C5" s="72">
        <v>-15</v>
      </c>
      <c r="D5" s="74">
        <v>-92</v>
      </c>
      <c r="F5" s="371" t="s">
        <v>185</v>
      </c>
      <c r="G5" s="74">
        <f>Co</f>
        <v>0</v>
      </c>
      <c r="I5" s="372" t="s">
        <v>38</v>
      </c>
      <c r="J5" s="74">
        <f>Em</f>
        <v>8</v>
      </c>
      <c r="L5" s="372" t="s">
        <v>200</v>
      </c>
      <c r="M5" s="74" t="s">
        <v>150</v>
      </c>
      <c r="O5" s="371">
        <v>1</v>
      </c>
      <c r="P5" s="74">
        <f>O5*5</f>
        <v>5</v>
      </c>
      <c r="R5" s="888"/>
      <c r="S5" s="63">
        <v>5</v>
      </c>
      <c r="T5" s="63">
        <v>-10</v>
      </c>
      <c r="U5" s="63">
        <v>0</v>
      </c>
      <c r="V5" s="63">
        <v>5</v>
      </c>
      <c r="W5" s="63">
        <v>10</v>
      </c>
      <c r="X5" s="63">
        <v>15</v>
      </c>
      <c r="Y5" s="373">
        <v>5</v>
      </c>
      <c r="AA5" s="374" t="s">
        <v>359</v>
      </c>
      <c r="AB5" s="375">
        <v>3</v>
      </c>
      <c r="AC5" s="376" t="s">
        <v>315</v>
      </c>
      <c r="AD5" s="374" t="s">
        <v>312</v>
      </c>
      <c r="AE5" s="375">
        <v>20</v>
      </c>
      <c r="AF5" s="374">
        <v>-5</v>
      </c>
      <c r="AG5" s="377">
        <v>0</v>
      </c>
      <c r="AH5" s="377">
        <v>-5</v>
      </c>
      <c r="AI5" s="377">
        <v>0</v>
      </c>
      <c r="AJ5" s="377">
        <v>0</v>
      </c>
      <c r="AK5" s="377">
        <v>0</v>
      </c>
      <c r="AL5" s="378">
        <v>0.05</v>
      </c>
      <c r="AM5" s="378">
        <v>0.01</v>
      </c>
      <c r="AN5" s="378">
        <v>0.02</v>
      </c>
      <c r="AO5" s="379">
        <v>5.0000000000000001E-3</v>
      </c>
    </row>
    <row r="6" spans="2:41" x14ac:dyDescent="0.25">
      <c r="B6" s="371">
        <f>B5+1</f>
        <v>2</v>
      </c>
      <c r="C6" s="72">
        <v>-14</v>
      </c>
      <c r="D6" s="380">
        <v>-86</v>
      </c>
      <c r="F6" s="371" t="s">
        <v>186</v>
      </c>
      <c r="G6" s="74">
        <f>Em</f>
        <v>8</v>
      </c>
      <c r="I6" s="372" t="s">
        <v>39</v>
      </c>
      <c r="J6" s="74">
        <f>Pr</f>
        <v>0</v>
      </c>
      <c r="L6" s="372" t="s">
        <v>202</v>
      </c>
      <c r="M6" s="74" t="s">
        <v>209</v>
      </c>
      <c r="O6" s="371">
        <f>O5+1</f>
        <v>2</v>
      </c>
      <c r="P6" s="74">
        <f t="shared" ref="P6:P14" si="0">O6*5</f>
        <v>10</v>
      </c>
      <c r="R6" s="888"/>
      <c r="S6" s="63">
        <v>4</v>
      </c>
      <c r="T6" s="63">
        <v>-20</v>
      </c>
      <c r="U6" s="63">
        <v>0</v>
      </c>
      <c r="V6" s="63">
        <v>5</v>
      </c>
      <c r="W6" s="63">
        <v>10</v>
      </c>
      <c r="X6" s="63">
        <v>15</v>
      </c>
      <c r="Y6" s="373">
        <v>5</v>
      </c>
      <c r="AA6" s="374" t="s">
        <v>360</v>
      </c>
      <c r="AB6" s="375">
        <v>4</v>
      </c>
      <c r="AC6" s="376" t="s">
        <v>352</v>
      </c>
      <c r="AD6" s="374" t="s">
        <v>374</v>
      </c>
      <c r="AE6" s="375">
        <v>25</v>
      </c>
      <c r="AF6" s="374">
        <v>-10</v>
      </c>
      <c r="AG6" s="377">
        <v>-5</v>
      </c>
      <c r="AH6" s="377">
        <v>-10</v>
      </c>
      <c r="AI6" s="377">
        <v>0</v>
      </c>
      <c r="AJ6" s="377">
        <v>-10</v>
      </c>
      <c r="AK6" s="377">
        <v>-5</v>
      </c>
      <c r="AL6" s="378">
        <v>0.05</v>
      </c>
      <c r="AM6" s="378">
        <v>0.02</v>
      </c>
      <c r="AN6" s="378">
        <v>0.03</v>
      </c>
      <c r="AO6" s="378">
        <v>0.01</v>
      </c>
    </row>
    <row r="7" spans="2:41" ht="15.75" thickBot="1" x14ac:dyDescent="0.3">
      <c r="B7" s="371">
        <f t="shared" ref="B7:B70" si="1">B6+1</f>
        <v>3</v>
      </c>
      <c r="C7" s="72">
        <v>-13</v>
      </c>
      <c r="D7" s="380">
        <v>-80</v>
      </c>
      <c r="F7" s="371" t="s">
        <v>187</v>
      </c>
      <c r="G7" s="74">
        <f>In</f>
        <v>0</v>
      </c>
      <c r="I7" s="372" t="s">
        <v>196</v>
      </c>
      <c r="J7" s="74">
        <f>MIN(In,Em)</f>
        <v>0</v>
      </c>
      <c r="L7" s="372" t="s">
        <v>201</v>
      </c>
      <c r="M7" s="74" t="s">
        <v>209</v>
      </c>
      <c r="O7" s="371">
        <f t="shared" ref="O7:O70" si="2">O6+1</f>
        <v>3</v>
      </c>
      <c r="P7" s="74">
        <f t="shared" si="0"/>
        <v>15</v>
      </c>
      <c r="R7" s="888"/>
      <c r="S7" s="63">
        <v>3</v>
      </c>
      <c r="T7" s="63">
        <v>-30</v>
      </c>
      <c r="U7" s="63">
        <v>0</v>
      </c>
      <c r="V7" s="63">
        <v>5</v>
      </c>
      <c r="W7" s="63">
        <v>10</v>
      </c>
      <c r="X7" s="63">
        <v>15</v>
      </c>
      <c r="Y7" s="373">
        <v>5</v>
      </c>
      <c r="AA7" s="374" t="s">
        <v>361</v>
      </c>
      <c r="AB7" s="375">
        <v>5</v>
      </c>
      <c r="AC7" s="381" t="s">
        <v>353</v>
      </c>
      <c r="AD7" s="382" t="s">
        <v>375</v>
      </c>
      <c r="AE7" s="383">
        <v>30</v>
      </c>
      <c r="AF7" s="374">
        <v>-20</v>
      </c>
      <c r="AG7" s="377">
        <v>-5</v>
      </c>
      <c r="AH7" s="377">
        <v>-10</v>
      </c>
      <c r="AI7" s="377">
        <v>0</v>
      </c>
      <c r="AJ7" s="377">
        <v>-10</v>
      </c>
      <c r="AK7" s="377">
        <v>-5</v>
      </c>
      <c r="AL7" s="378">
        <v>0.05</v>
      </c>
      <c r="AM7" s="378">
        <v>0.02</v>
      </c>
      <c r="AN7" s="378">
        <v>0.03</v>
      </c>
      <c r="AO7" s="378">
        <v>0.01</v>
      </c>
    </row>
    <row r="8" spans="2:41" x14ac:dyDescent="0.25">
      <c r="B8" s="371">
        <f t="shared" si="1"/>
        <v>4</v>
      </c>
      <c r="C8" s="72">
        <v>-12</v>
      </c>
      <c r="D8" s="380">
        <v>-74</v>
      </c>
      <c r="F8" s="371" t="s">
        <v>188</v>
      </c>
      <c r="G8" s="74">
        <f>Me</f>
        <v>0</v>
      </c>
      <c r="I8" s="372" t="s">
        <v>197</v>
      </c>
      <c r="J8" s="74">
        <f>MIN(In,Pr)</f>
        <v>0</v>
      </c>
      <c r="L8" s="372" t="s">
        <v>204</v>
      </c>
      <c r="M8" s="74" t="s">
        <v>701</v>
      </c>
      <c r="O8" s="371">
        <f t="shared" si="2"/>
        <v>4</v>
      </c>
      <c r="P8" s="74">
        <f t="shared" si="0"/>
        <v>20</v>
      </c>
      <c r="R8" s="888"/>
      <c r="S8" s="63">
        <v>2</v>
      </c>
      <c r="T8" s="63">
        <v>-40</v>
      </c>
      <c r="U8" s="63">
        <v>-10</v>
      </c>
      <c r="V8" s="63">
        <v>0</v>
      </c>
      <c r="W8" s="63">
        <v>5</v>
      </c>
      <c r="X8" s="63">
        <v>10</v>
      </c>
      <c r="Y8" s="373">
        <v>0</v>
      </c>
      <c r="AA8" s="374" t="s">
        <v>362</v>
      </c>
      <c r="AB8" s="375">
        <v>6</v>
      </c>
      <c r="AC8" s="309"/>
      <c r="AF8" s="374">
        <v>-35</v>
      </c>
      <c r="AG8" s="377">
        <v>-10</v>
      </c>
      <c r="AH8" s="377">
        <v>-20</v>
      </c>
      <c r="AI8" s="377">
        <v>-5</v>
      </c>
      <c r="AJ8" s="377">
        <v>-20</v>
      </c>
      <c r="AK8" s="377">
        <v>-10</v>
      </c>
      <c r="AL8" s="378">
        <v>0.05</v>
      </c>
      <c r="AM8" s="378">
        <v>0.02</v>
      </c>
      <c r="AN8" s="378">
        <v>0.03</v>
      </c>
      <c r="AO8" s="378">
        <v>0.02</v>
      </c>
    </row>
    <row r="9" spans="2:41" x14ac:dyDescent="0.25">
      <c r="B9" s="371">
        <f t="shared" si="1"/>
        <v>5</v>
      </c>
      <c r="C9" s="72">
        <v>-11</v>
      </c>
      <c r="D9" s="380">
        <v>-68</v>
      </c>
      <c r="F9" s="371" t="s">
        <v>189</v>
      </c>
      <c r="G9" s="74">
        <f>Pr</f>
        <v>0</v>
      </c>
      <c r="I9" s="372" t="s">
        <v>198</v>
      </c>
      <c r="J9" s="74">
        <f>MIN(Em,Pr)</f>
        <v>0</v>
      </c>
      <c r="L9" s="372" t="s">
        <v>205</v>
      </c>
      <c r="M9" s="74" t="s">
        <v>163</v>
      </c>
      <c r="O9" s="371">
        <f t="shared" si="2"/>
        <v>5</v>
      </c>
      <c r="P9" s="74">
        <f t="shared" si="0"/>
        <v>25</v>
      </c>
      <c r="R9" s="888"/>
      <c r="S9" s="63">
        <v>1</v>
      </c>
      <c r="T9" s="63">
        <v>-50</v>
      </c>
      <c r="U9" s="63">
        <v>-20</v>
      </c>
      <c r="V9" s="63">
        <v>0</v>
      </c>
      <c r="W9" s="63">
        <v>5</v>
      </c>
      <c r="X9" s="63">
        <v>10</v>
      </c>
      <c r="Y9" s="373">
        <v>0</v>
      </c>
      <c r="AA9" s="374" t="s">
        <v>363</v>
      </c>
      <c r="AB9" s="375">
        <v>7</v>
      </c>
      <c r="AC9" s="309"/>
      <c r="AF9" s="374">
        <v>-40</v>
      </c>
      <c r="AG9" s="377">
        <v>-10</v>
      </c>
      <c r="AH9" s="377">
        <v>-20</v>
      </c>
      <c r="AI9" s="377">
        <v>-5</v>
      </c>
      <c r="AJ9" s="377">
        <v>-20</v>
      </c>
      <c r="AK9" s="377">
        <v>-10</v>
      </c>
      <c r="AL9" s="378">
        <v>0.1</v>
      </c>
      <c r="AM9" s="378">
        <v>0.02</v>
      </c>
      <c r="AN9" s="378">
        <v>0.03</v>
      </c>
      <c r="AO9" s="378">
        <v>0.02</v>
      </c>
    </row>
    <row r="10" spans="2:41" ht="15" customHeight="1" thickBot="1" x14ac:dyDescent="0.3">
      <c r="B10" s="371">
        <f t="shared" si="1"/>
        <v>6</v>
      </c>
      <c r="C10" s="72">
        <v>-10</v>
      </c>
      <c r="D10" s="380">
        <v>-62</v>
      </c>
      <c r="F10" s="371" t="s">
        <v>190</v>
      </c>
      <c r="G10" s="74">
        <f>Qu</f>
        <v>0</v>
      </c>
      <c r="I10" s="384" t="s">
        <v>199</v>
      </c>
      <c r="J10" s="77">
        <f>MIN(In,Em,Pr)</f>
        <v>0</v>
      </c>
      <c r="L10" s="372" t="s">
        <v>206</v>
      </c>
      <c r="M10" s="74" t="s">
        <v>210</v>
      </c>
      <c r="O10" s="371">
        <f t="shared" si="2"/>
        <v>6</v>
      </c>
      <c r="P10" s="74">
        <f t="shared" si="0"/>
        <v>30</v>
      </c>
      <c r="R10" s="888"/>
      <c r="S10" s="63">
        <v>0</v>
      </c>
      <c r="T10" s="63">
        <v>-60</v>
      </c>
      <c r="U10" s="63">
        <v>-30</v>
      </c>
      <c r="V10" s="63">
        <v>0</v>
      </c>
      <c r="W10" s="63">
        <v>5</v>
      </c>
      <c r="X10" s="63">
        <v>10</v>
      </c>
      <c r="Y10" s="373">
        <v>0</v>
      </c>
      <c r="AA10" s="374" t="s">
        <v>364</v>
      </c>
      <c r="AB10" s="375">
        <v>8</v>
      </c>
      <c r="AC10" s="309"/>
      <c r="AF10" s="374">
        <v>-45</v>
      </c>
      <c r="AG10" s="377">
        <v>-10</v>
      </c>
      <c r="AH10" s="377">
        <v>-20</v>
      </c>
      <c r="AI10" s="377">
        <v>-5</v>
      </c>
      <c r="AJ10" s="377">
        <v>-20</v>
      </c>
      <c r="AK10" s="377">
        <v>-10</v>
      </c>
      <c r="AL10" s="378">
        <v>0.1</v>
      </c>
      <c r="AM10" s="378">
        <v>0.03</v>
      </c>
      <c r="AN10" s="378">
        <v>0.04</v>
      </c>
      <c r="AO10" s="378">
        <v>0.02</v>
      </c>
    </row>
    <row r="11" spans="2:41" ht="15.75" thickBot="1" x14ac:dyDescent="0.3">
      <c r="B11" s="371">
        <f t="shared" si="1"/>
        <v>7</v>
      </c>
      <c r="C11" s="72">
        <v>-9</v>
      </c>
      <c r="D11" s="380">
        <v>-56</v>
      </c>
      <c r="F11" s="371" t="s">
        <v>191</v>
      </c>
      <c r="G11" s="74">
        <f>Re</f>
        <v>0</v>
      </c>
      <c r="L11" s="372" t="s">
        <v>207</v>
      </c>
      <c r="M11" s="74" t="s">
        <v>211</v>
      </c>
      <c r="O11" s="371">
        <f t="shared" si="2"/>
        <v>7</v>
      </c>
      <c r="P11" s="74">
        <f t="shared" si="0"/>
        <v>35</v>
      </c>
      <c r="R11" s="888"/>
      <c r="S11" s="63">
        <v>-1</v>
      </c>
      <c r="T11" s="63">
        <v>-80</v>
      </c>
      <c r="U11" s="63">
        <v>-50</v>
      </c>
      <c r="V11" s="63">
        <v>-20</v>
      </c>
      <c r="W11" s="63">
        <v>-15</v>
      </c>
      <c r="X11" s="63">
        <v>-10</v>
      </c>
      <c r="Y11" s="373">
        <v>-20</v>
      </c>
      <c r="AA11" s="374" t="s">
        <v>365</v>
      </c>
      <c r="AB11" s="375">
        <v>9</v>
      </c>
      <c r="AC11" s="309"/>
      <c r="AF11" s="374">
        <v>-60</v>
      </c>
      <c r="AG11" s="377">
        <v>-20</v>
      </c>
      <c r="AH11" s="377">
        <v>-30</v>
      </c>
      <c r="AI11" s="377">
        <v>-10</v>
      </c>
      <c r="AJ11" s="377">
        <v>-30</v>
      </c>
      <c r="AK11" s="377">
        <v>-15</v>
      </c>
      <c r="AL11" s="378">
        <v>0.1</v>
      </c>
      <c r="AM11" s="378">
        <v>0.03</v>
      </c>
      <c r="AN11" s="378">
        <v>0.04</v>
      </c>
      <c r="AO11" s="378">
        <v>0.03</v>
      </c>
    </row>
    <row r="12" spans="2:41" ht="15.75" thickBot="1" x14ac:dyDescent="0.3">
      <c r="B12" s="371">
        <f t="shared" si="1"/>
        <v>8</v>
      </c>
      <c r="C12" s="72">
        <v>-9</v>
      </c>
      <c r="D12" s="380">
        <v>-53</v>
      </c>
      <c r="F12" s="371" t="s">
        <v>192</v>
      </c>
      <c r="G12" s="74">
        <f>SD</f>
        <v>0</v>
      </c>
      <c r="L12" s="385"/>
      <c r="M12" s="386"/>
      <c r="O12" s="371">
        <f t="shared" si="2"/>
        <v>8</v>
      </c>
      <c r="P12" s="74">
        <f t="shared" si="0"/>
        <v>40</v>
      </c>
      <c r="R12" s="888"/>
      <c r="S12" s="63">
        <v>-2</v>
      </c>
      <c r="T12" s="63">
        <v>-90</v>
      </c>
      <c r="U12" s="63">
        <v>-60</v>
      </c>
      <c r="V12" s="63">
        <v>-30</v>
      </c>
      <c r="W12" s="63">
        <v>-25</v>
      </c>
      <c r="X12" s="63">
        <v>-20</v>
      </c>
      <c r="Y12" s="373">
        <v>-30</v>
      </c>
      <c r="AA12" s="382" t="s">
        <v>366</v>
      </c>
      <c r="AB12" s="383">
        <v>10</v>
      </c>
      <c r="AF12" s="382">
        <v>-65</v>
      </c>
      <c r="AG12" s="387">
        <v>-20</v>
      </c>
      <c r="AH12" s="387">
        <v>-30</v>
      </c>
      <c r="AI12" s="387">
        <v>-10</v>
      </c>
      <c r="AJ12" s="387">
        <v>-30</v>
      </c>
      <c r="AK12" s="387">
        <v>-15</v>
      </c>
      <c r="AL12" s="388">
        <v>0.15</v>
      </c>
      <c r="AM12" s="388">
        <v>0.04</v>
      </c>
      <c r="AN12" s="388">
        <v>0.05</v>
      </c>
      <c r="AO12" s="388">
        <v>0.03</v>
      </c>
    </row>
    <row r="13" spans="2:41" x14ac:dyDescent="0.25">
      <c r="B13" s="371">
        <f t="shared" si="1"/>
        <v>9</v>
      </c>
      <c r="C13" s="72">
        <v>-8</v>
      </c>
      <c r="D13" s="380">
        <v>-50</v>
      </c>
      <c r="F13" s="371" t="s">
        <v>193</v>
      </c>
      <c r="G13" s="74">
        <f>St</f>
        <v>0</v>
      </c>
      <c r="O13" s="371">
        <f t="shared" si="2"/>
        <v>9</v>
      </c>
      <c r="P13" s="74">
        <f t="shared" si="0"/>
        <v>45</v>
      </c>
      <c r="R13" s="888"/>
      <c r="S13" s="63">
        <v>-3</v>
      </c>
      <c r="T13" s="63">
        <v>-100</v>
      </c>
      <c r="U13" s="63">
        <v>-70</v>
      </c>
      <c r="V13" s="63">
        <v>-40</v>
      </c>
      <c r="W13" s="63">
        <v>-35</v>
      </c>
      <c r="X13" s="63">
        <v>-30</v>
      </c>
      <c r="Y13" s="373">
        <v>-40</v>
      </c>
    </row>
    <row r="14" spans="2:41" ht="15.75" thickBot="1" x14ac:dyDescent="0.3">
      <c r="B14" s="371">
        <f t="shared" si="1"/>
        <v>10</v>
      </c>
      <c r="C14" s="72">
        <v>-8</v>
      </c>
      <c r="D14" s="380">
        <v>-48</v>
      </c>
      <c r="F14" s="389" t="s">
        <v>279</v>
      </c>
      <c r="G14" s="77">
        <f>RS</f>
        <v>8</v>
      </c>
      <c r="L14" s="59"/>
      <c r="M14" s="59"/>
      <c r="N14" s="47"/>
      <c r="O14" s="371">
        <f t="shared" si="2"/>
        <v>10</v>
      </c>
      <c r="P14" s="74">
        <f t="shared" si="0"/>
        <v>50</v>
      </c>
      <c r="R14" s="888"/>
      <c r="S14" s="63">
        <v>-4</v>
      </c>
      <c r="T14" s="63">
        <v>-110</v>
      </c>
      <c r="U14" s="63">
        <v>-80</v>
      </c>
      <c r="V14" s="63">
        <v>-50</v>
      </c>
      <c r="W14" s="63">
        <v>-45</v>
      </c>
      <c r="X14" s="63">
        <v>-40</v>
      </c>
      <c r="Y14" s="373">
        <v>-50</v>
      </c>
    </row>
    <row r="15" spans="2:41" ht="15" customHeight="1" thickBot="1" x14ac:dyDescent="0.3">
      <c r="B15" s="371">
        <f t="shared" si="1"/>
        <v>11</v>
      </c>
      <c r="C15" s="72">
        <v>-8</v>
      </c>
      <c r="D15" s="380">
        <v>-46</v>
      </c>
      <c r="L15" s="59"/>
      <c r="M15" s="59"/>
      <c r="N15" s="47"/>
      <c r="O15" s="371">
        <f t="shared" si="2"/>
        <v>11</v>
      </c>
      <c r="P15" s="74">
        <f>50+(O15-10)*3</f>
        <v>53</v>
      </c>
      <c r="R15" s="888"/>
      <c r="S15" s="63">
        <v>-5</v>
      </c>
      <c r="T15" s="63">
        <v>-120</v>
      </c>
      <c r="U15" s="63">
        <v>-90</v>
      </c>
      <c r="V15" s="63">
        <v>-60</v>
      </c>
      <c r="W15" s="63">
        <v>-55</v>
      </c>
      <c r="X15" s="63">
        <v>-50</v>
      </c>
      <c r="Y15" s="373">
        <v>-60</v>
      </c>
    </row>
    <row r="16" spans="2:41" ht="15.75" thickBot="1" x14ac:dyDescent="0.3">
      <c r="B16" s="371">
        <f t="shared" si="1"/>
        <v>12</v>
      </c>
      <c r="C16" s="72">
        <v>-7</v>
      </c>
      <c r="D16" s="380">
        <v>-44</v>
      </c>
      <c r="L16" s="59"/>
      <c r="M16" s="59"/>
      <c r="N16" s="47"/>
      <c r="O16" s="371">
        <f t="shared" si="2"/>
        <v>12</v>
      </c>
      <c r="P16" s="74">
        <f t="shared" ref="P16:P24" si="3">50+(O16-10)*3</f>
        <v>56</v>
      </c>
      <c r="R16" s="888"/>
      <c r="S16" s="390" t="s">
        <v>337</v>
      </c>
      <c r="T16" s="63">
        <v>-140</v>
      </c>
      <c r="U16" s="63">
        <v>-110</v>
      </c>
      <c r="V16" s="63">
        <v>-80</v>
      </c>
      <c r="W16" s="63">
        <v>-75</v>
      </c>
      <c r="X16" s="63">
        <v>-70</v>
      </c>
      <c r="Y16" s="373">
        <v>-80</v>
      </c>
      <c r="AB16" s="438" t="s">
        <v>748</v>
      </c>
      <c r="AC16" s="439" t="s">
        <v>749</v>
      </c>
      <c r="AD16" s="439" t="s">
        <v>15</v>
      </c>
      <c r="AE16" s="439" t="s">
        <v>750</v>
      </c>
      <c r="AF16" s="439" t="s">
        <v>345</v>
      </c>
      <c r="AG16" s="439" t="s">
        <v>751</v>
      </c>
      <c r="AH16" s="439" t="s">
        <v>752</v>
      </c>
      <c r="AI16" s="439" t="s">
        <v>753</v>
      </c>
      <c r="AJ16" s="439" t="s">
        <v>754</v>
      </c>
      <c r="AK16" s="439" t="s">
        <v>755</v>
      </c>
      <c r="AL16" s="347" t="s">
        <v>756</v>
      </c>
    </row>
    <row r="17" spans="2:38" ht="15.75" thickBot="1" x14ac:dyDescent="0.3">
      <c r="B17" s="371">
        <f t="shared" si="1"/>
        <v>13</v>
      </c>
      <c r="C17" s="72">
        <v>-7</v>
      </c>
      <c r="D17" s="380">
        <v>-42</v>
      </c>
      <c r="L17" s="59"/>
      <c r="M17" s="59"/>
      <c r="N17" s="47"/>
      <c r="O17" s="371">
        <f t="shared" si="2"/>
        <v>13</v>
      </c>
      <c r="P17" s="74">
        <f t="shared" si="3"/>
        <v>59</v>
      </c>
      <c r="R17" s="889"/>
      <c r="S17" s="391" t="s">
        <v>338</v>
      </c>
      <c r="T17" s="392">
        <v>-160</v>
      </c>
      <c r="U17" s="392">
        <v>-130</v>
      </c>
      <c r="V17" s="392">
        <v>-100</v>
      </c>
      <c r="W17" s="392">
        <v>-95</v>
      </c>
      <c r="X17" s="392">
        <v>-90</v>
      </c>
      <c r="Y17" s="393">
        <v>-100</v>
      </c>
      <c r="AA17" s="890" t="s">
        <v>757</v>
      </c>
      <c r="AB17" s="440" t="s">
        <v>758</v>
      </c>
      <c r="AC17" s="410">
        <v>2</v>
      </c>
      <c r="AD17" s="410" t="s">
        <v>759</v>
      </c>
      <c r="AE17" s="410" t="s">
        <v>760</v>
      </c>
      <c r="AF17" s="441" t="s">
        <v>761</v>
      </c>
      <c r="AG17" s="442">
        <v>10</v>
      </c>
      <c r="AH17" s="442">
        <v>20</v>
      </c>
      <c r="AI17" s="442">
        <v>30</v>
      </c>
      <c r="AJ17" s="442">
        <v>40</v>
      </c>
      <c r="AK17" s="442">
        <v>50</v>
      </c>
      <c r="AL17" s="411" t="s">
        <v>734</v>
      </c>
    </row>
    <row r="18" spans="2:38" x14ac:dyDescent="0.25">
      <c r="B18" s="371">
        <f t="shared" si="1"/>
        <v>14</v>
      </c>
      <c r="C18" s="72">
        <v>-7</v>
      </c>
      <c r="D18" s="380">
        <v>-40</v>
      </c>
      <c r="L18" s="63"/>
      <c r="M18" s="59"/>
      <c r="N18" s="47"/>
      <c r="O18" s="371">
        <f t="shared" si="2"/>
        <v>14</v>
      </c>
      <c r="P18" s="74">
        <f t="shared" si="3"/>
        <v>62</v>
      </c>
      <c r="AA18" s="891"/>
      <c r="AB18" s="440" t="s">
        <v>762</v>
      </c>
      <c r="AC18" s="410">
        <v>2</v>
      </c>
      <c r="AD18" s="410" t="s">
        <v>763</v>
      </c>
      <c r="AE18" s="410" t="s">
        <v>764</v>
      </c>
      <c r="AF18" s="443" t="s">
        <v>765</v>
      </c>
      <c r="AG18" s="442">
        <v>10</v>
      </c>
      <c r="AH18" s="442">
        <v>20</v>
      </c>
      <c r="AI18" s="442">
        <v>30</v>
      </c>
      <c r="AJ18" s="442">
        <v>40</v>
      </c>
      <c r="AK18" s="442">
        <v>50</v>
      </c>
      <c r="AL18" s="411" t="s">
        <v>734</v>
      </c>
    </row>
    <row r="19" spans="2:38" ht="15" customHeight="1" x14ac:dyDescent="0.25">
      <c r="B19" s="371">
        <f t="shared" si="1"/>
        <v>15</v>
      </c>
      <c r="C19" s="72">
        <v>-6</v>
      </c>
      <c r="D19" s="380">
        <v>-38</v>
      </c>
      <c r="L19" s="59"/>
      <c r="M19" s="59"/>
      <c r="N19" s="47"/>
      <c r="O19" s="371">
        <f t="shared" si="2"/>
        <v>15</v>
      </c>
      <c r="P19" s="74">
        <f t="shared" si="3"/>
        <v>65</v>
      </c>
      <c r="AA19" s="891"/>
      <c r="AB19" s="440" t="s">
        <v>766</v>
      </c>
      <c r="AC19" s="410">
        <v>2</v>
      </c>
      <c r="AD19" s="410" t="s">
        <v>759</v>
      </c>
      <c r="AE19" s="410" t="s">
        <v>767</v>
      </c>
      <c r="AF19" s="443" t="s">
        <v>863</v>
      </c>
      <c r="AG19" s="410" t="s">
        <v>734</v>
      </c>
      <c r="AH19" s="410" t="s">
        <v>734</v>
      </c>
      <c r="AI19" s="410" t="s">
        <v>734</v>
      </c>
      <c r="AJ19" s="410" t="s">
        <v>734</v>
      </c>
      <c r="AK19" s="410" t="s">
        <v>734</v>
      </c>
      <c r="AL19" s="411" t="s">
        <v>734</v>
      </c>
    </row>
    <row r="20" spans="2:38" x14ac:dyDescent="0.25">
      <c r="B20" s="371">
        <f t="shared" si="1"/>
        <v>16</v>
      </c>
      <c r="C20" s="72">
        <v>-6</v>
      </c>
      <c r="D20" s="380">
        <v>-36</v>
      </c>
      <c r="L20" s="59"/>
      <c r="M20" s="59"/>
      <c r="N20" s="47"/>
      <c r="O20" s="371">
        <f t="shared" si="2"/>
        <v>16</v>
      </c>
      <c r="P20" s="74">
        <f t="shared" si="3"/>
        <v>68</v>
      </c>
      <c r="AA20" s="891"/>
      <c r="AB20" s="440" t="s">
        <v>768</v>
      </c>
      <c r="AC20" s="410">
        <v>4</v>
      </c>
      <c r="AD20" s="410" t="s">
        <v>769</v>
      </c>
      <c r="AE20" s="410" t="s">
        <v>770</v>
      </c>
      <c r="AF20" s="443" t="s">
        <v>771</v>
      </c>
      <c r="AG20" s="410" t="s">
        <v>734</v>
      </c>
      <c r="AH20" s="410" t="s">
        <v>734</v>
      </c>
      <c r="AI20" s="410" t="s">
        <v>734</v>
      </c>
      <c r="AJ20" s="410" t="s">
        <v>734</v>
      </c>
      <c r="AK20" s="410" t="s">
        <v>734</v>
      </c>
      <c r="AL20" s="411" t="s">
        <v>734</v>
      </c>
    </row>
    <row r="21" spans="2:38" x14ac:dyDescent="0.25">
      <c r="B21" s="371">
        <f t="shared" si="1"/>
        <v>17</v>
      </c>
      <c r="C21" s="72">
        <v>-6</v>
      </c>
      <c r="D21" s="74">
        <v>-34</v>
      </c>
      <c r="L21" s="59"/>
      <c r="M21" s="59"/>
      <c r="N21" s="47"/>
      <c r="O21" s="371">
        <f t="shared" si="2"/>
        <v>17</v>
      </c>
      <c r="P21" s="74">
        <f t="shared" si="3"/>
        <v>71</v>
      </c>
      <c r="AA21" s="891"/>
      <c r="AB21" s="440" t="s">
        <v>772</v>
      </c>
      <c r="AC21" s="410">
        <v>3</v>
      </c>
      <c r="AD21" s="410" t="s">
        <v>773</v>
      </c>
      <c r="AE21" s="410" t="s">
        <v>770</v>
      </c>
      <c r="AF21" s="443" t="s">
        <v>771</v>
      </c>
      <c r="AG21" s="410" t="s">
        <v>734</v>
      </c>
      <c r="AH21" s="410" t="s">
        <v>734</v>
      </c>
      <c r="AI21" s="410" t="s">
        <v>734</v>
      </c>
      <c r="AJ21" s="410" t="s">
        <v>734</v>
      </c>
      <c r="AK21" s="410" t="s">
        <v>734</v>
      </c>
      <c r="AL21" s="411" t="s">
        <v>734</v>
      </c>
    </row>
    <row r="22" spans="2:38" ht="15" customHeight="1" x14ac:dyDescent="0.25">
      <c r="B22" s="371">
        <f t="shared" si="1"/>
        <v>18</v>
      </c>
      <c r="C22" s="72">
        <v>-5</v>
      </c>
      <c r="D22" s="74">
        <f>B22-50</f>
        <v>-32</v>
      </c>
      <c r="L22" s="59"/>
      <c r="M22" s="59"/>
      <c r="N22" s="47"/>
      <c r="O22" s="371">
        <f t="shared" si="2"/>
        <v>18</v>
      </c>
      <c r="P22" s="74">
        <f t="shared" si="3"/>
        <v>74</v>
      </c>
      <c r="AA22" s="891"/>
      <c r="AB22" s="440" t="s">
        <v>774</v>
      </c>
      <c r="AC22" s="410">
        <v>3</v>
      </c>
      <c r="AD22" s="410" t="s">
        <v>775</v>
      </c>
      <c r="AE22" s="410" t="s">
        <v>776</v>
      </c>
      <c r="AF22" s="443" t="s">
        <v>777</v>
      </c>
      <c r="AG22" s="410" t="s">
        <v>734</v>
      </c>
      <c r="AH22" s="410" t="s">
        <v>734</v>
      </c>
      <c r="AI22" s="410" t="s">
        <v>734</v>
      </c>
      <c r="AJ22" s="410" t="s">
        <v>734</v>
      </c>
      <c r="AK22" s="404" t="s">
        <v>734</v>
      </c>
      <c r="AL22" s="411" t="s">
        <v>734</v>
      </c>
    </row>
    <row r="23" spans="2:38" x14ac:dyDescent="0.25">
      <c r="B23" s="371">
        <f t="shared" si="1"/>
        <v>19</v>
      </c>
      <c r="C23" s="72">
        <v>-5</v>
      </c>
      <c r="D23" s="74">
        <f t="shared" ref="D23:D86" si="4">B23-50</f>
        <v>-31</v>
      </c>
      <c r="L23" s="63"/>
      <c r="M23" s="59"/>
      <c r="N23" s="47"/>
      <c r="O23" s="371">
        <f t="shared" si="2"/>
        <v>19</v>
      </c>
      <c r="P23" s="74">
        <f t="shared" si="3"/>
        <v>77</v>
      </c>
      <c r="AA23" s="891"/>
      <c r="AB23" s="440" t="s">
        <v>778</v>
      </c>
      <c r="AC23" s="410">
        <v>4</v>
      </c>
      <c r="AD23" s="410" t="s">
        <v>779</v>
      </c>
      <c r="AE23" s="410" t="s">
        <v>780</v>
      </c>
      <c r="AF23" s="443" t="s">
        <v>777</v>
      </c>
      <c r="AG23" s="410" t="s">
        <v>734</v>
      </c>
      <c r="AH23" s="410" t="s">
        <v>734</v>
      </c>
      <c r="AI23" s="410" t="s">
        <v>734</v>
      </c>
      <c r="AJ23" s="410" t="s">
        <v>734</v>
      </c>
      <c r="AK23" s="410" t="s">
        <v>734</v>
      </c>
      <c r="AL23" s="411" t="s">
        <v>734</v>
      </c>
    </row>
    <row r="24" spans="2:38" x14ac:dyDescent="0.25">
      <c r="B24" s="371">
        <f t="shared" si="1"/>
        <v>20</v>
      </c>
      <c r="C24" s="72">
        <v>-5</v>
      </c>
      <c r="D24" s="74">
        <f t="shared" si="4"/>
        <v>-30</v>
      </c>
      <c r="O24" s="371">
        <f t="shared" si="2"/>
        <v>20</v>
      </c>
      <c r="P24" s="74">
        <f t="shared" si="3"/>
        <v>80</v>
      </c>
      <c r="AA24" s="891"/>
      <c r="AB24" s="440" t="s">
        <v>781</v>
      </c>
      <c r="AC24" s="410">
        <v>5</v>
      </c>
      <c r="AD24" s="410" t="s">
        <v>759</v>
      </c>
      <c r="AE24" s="410" t="s">
        <v>782</v>
      </c>
      <c r="AF24" s="443" t="s">
        <v>783</v>
      </c>
      <c r="AG24" s="410" t="s">
        <v>734</v>
      </c>
      <c r="AH24" s="410" t="s">
        <v>734</v>
      </c>
      <c r="AI24" s="410" t="s">
        <v>734</v>
      </c>
      <c r="AJ24" s="410" t="s">
        <v>734</v>
      </c>
      <c r="AK24" s="410" t="s">
        <v>734</v>
      </c>
      <c r="AL24" s="411" t="s">
        <v>734</v>
      </c>
    </row>
    <row r="25" spans="2:38" x14ac:dyDescent="0.25">
      <c r="B25" s="371">
        <f t="shared" si="1"/>
        <v>21</v>
      </c>
      <c r="C25" s="72">
        <v>-5</v>
      </c>
      <c r="D25" s="74">
        <f t="shared" si="4"/>
        <v>-29</v>
      </c>
      <c r="O25" s="371">
        <f t="shared" si="2"/>
        <v>21</v>
      </c>
      <c r="P25" s="74">
        <f>80+(O25-20)*2</f>
        <v>82</v>
      </c>
      <c r="AA25" s="891"/>
      <c r="AB25" s="440" t="s">
        <v>784</v>
      </c>
      <c r="AC25" s="410">
        <v>3</v>
      </c>
      <c r="AD25" s="410" t="s">
        <v>785</v>
      </c>
      <c r="AE25" s="410" t="s">
        <v>786</v>
      </c>
      <c r="AF25" s="443" t="s">
        <v>787</v>
      </c>
      <c r="AG25" s="410" t="s">
        <v>734</v>
      </c>
      <c r="AH25" s="410" t="s">
        <v>734</v>
      </c>
      <c r="AI25" s="410" t="s">
        <v>734</v>
      </c>
      <c r="AJ25" s="410" t="s">
        <v>734</v>
      </c>
      <c r="AK25" s="410" t="s">
        <v>734</v>
      </c>
      <c r="AL25" s="411" t="s">
        <v>734</v>
      </c>
    </row>
    <row r="26" spans="2:38" ht="15" customHeight="1" x14ac:dyDescent="0.25">
      <c r="B26" s="371">
        <f t="shared" si="1"/>
        <v>22</v>
      </c>
      <c r="C26" s="72">
        <v>-5</v>
      </c>
      <c r="D26" s="74">
        <f t="shared" si="4"/>
        <v>-28</v>
      </c>
      <c r="O26" s="371">
        <f t="shared" si="2"/>
        <v>22</v>
      </c>
      <c r="P26" s="74">
        <f t="shared" ref="P26:P34" si="5">80+(O26-20)*2</f>
        <v>84</v>
      </c>
      <c r="AA26" s="891"/>
      <c r="AB26" s="440" t="s">
        <v>788</v>
      </c>
      <c r="AC26" s="410">
        <v>2</v>
      </c>
      <c r="AD26" s="410" t="s">
        <v>789</v>
      </c>
      <c r="AE26" s="410" t="s">
        <v>770</v>
      </c>
      <c r="AF26" s="443" t="s">
        <v>790</v>
      </c>
      <c r="AG26" s="410" t="s">
        <v>734</v>
      </c>
      <c r="AH26" s="410" t="s">
        <v>734</v>
      </c>
      <c r="AI26" s="410" t="s">
        <v>734</v>
      </c>
      <c r="AJ26" s="410" t="s">
        <v>734</v>
      </c>
      <c r="AK26" s="410" t="s">
        <v>734</v>
      </c>
      <c r="AL26" s="411" t="s">
        <v>734</v>
      </c>
    </row>
    <row r="27" spans="2:38" x14ac:dyDescent="0.25">
      <c r="B27" s="371">
        <f t="shared" si="1"/>
        <v>23</v>
      </c>
      <c r="C27" s="72">
        <v>-5</v>
      </c>
      <c r="D27" s="74">
        <f t="shared" si="4"/>
        <v>-27</v>
      </c>
      <c r="O27" s="371">
        <f t="shared" si="2"/>
        <v>23</v>
      </c>
      <c r="P27" s="74">
        <f t="shared" si="5"/>
        <v>86</v>
      </c>
      <c r="AA27" s="891"/>
      <c r="AB27" s="440" t="s">
        <v>791</v>
      </c>
      <c r="AC27" s="410">
        <v>4</v>
      </c>
      <c r="AD27" s="410" t="s">
        <v>792</v>
      </c>
      <c r="AE27" s="410" t="s">
        <v>782</v>
      </c>
      <c r="AF27" s="443" t="s">
        <v>793</v>
      </c>
      <c r="AG27" s="410" t="s">
        <v>734</v>
      </c>
      <c r="AH27" s="410" t="s">
        <v>734</v>
      </c>
      <c r="AI27" s="410" t="s">
        <v>734</v>
      </c>
      <c r="AJ27" s="410" t="s">
        <v>734</v>
      </c>
      <c r="AK27" s="410" t="s">
        <v>734</v>
      </c>
      <c r="AL27" s="411" t="s">
        <v>734</v>
      </c>
    </row>
    <row r="28" spans="2:38" x14ac:dyDescent="0.25">
      <c r="B28" s="371">
        <f t="shared" si="1"/>
        <v>24</v>
      </c>
      <c r="C28" s="72">
        <v>-4</v>
      </c>
      <c r="D28" s="74">
        <f t="shared" si="4"/>
        <v>-26</v>
      </c>
      <c r="O28" s="371">
        <f t="shared" si="2"/>
        <v>24</v>
      </c>
      <c r="P28" s="74">
        <f t="shared" si="5"/>
        <v>88</v>
      </c>
      <c r="AA28" s="891"/>
      <c r="AB28" s="440" t="s">
        <v>794</v>
      </c>
      <c r="AC28" s="410">
        <v>4</v>
      </c>
      <c r="AD28" s="410" t="s">
        <v>792</v>
      </c>
      <c r="AE28" s="410" t="s">
        <v>780</v>
      </c>
      <c r="AF28" s="443" t="s">
        <v>795</v>
      </c>
      <c r="AG28" s="410" t="s">
        <v>734</v>
      </c>
      <c r="AH28" s="410" t="s">
        <v>734</v>
      </c>
      <c r="AI28" s="410" t="s">
        <v>734</v>
      </c>
      <c r="AJ28" s="410" t="s">
        <v>734</v>
      </c>
      <c r="AK28" s="410" t="s">
        <v>734</v>
      </c>
      <c r="AL28" s="411" t="s">
        <v>734</v>
      </c>
    </row>
    <row r="29" spans="2:38" x14ac:dyDescent="0.25">
      <c r="B29" s="371">
        <f t="shared" si="1"/>
        <v>25</v>
      </c>
      <c r="C29" s="72">
        <v>-4</v>
      </c>
      <c r="D29" s="74">
        <f t="shared" si="4"/>
        <v>-25</v>
      </c>
      <c r="O29" s="371">
        <f t="shared" si="2"/>
        <v>25</v>
      </c>
      <c r="P29" s="74">
        <f t="shared" si="5"/>
        <v>90</v>
      </c>
      <c r="AA29" s="891"/>
      <c r="AB29" s="440" t="s">
        <v>796</v>
      </c>
      <c r="AC29" s="410">
        <v>4</v>
      </c>
      <c r="AD29" s="410" t="s">
        <v>785</v>
      </c>
      <c r="AE29" s="410" t="s">
        <v>797</v>
      </c>
      <c r="AF29" s="443" t="s">
        <v>798</v>
      </c>
      <c r="AG29" s="410" t="s">
        <v>734</v>
      </c>
      <c r="AH29" s="410" t="s">
        <v>734</v>
      </c>
      <c r="AI29" s="410" t="s">
        <v>734</v>
      </c>
      <c r="AJ29" s="410" t="s">
        <v>734</v>
      </c>
      <c r="AK29" s="410" t="s">
        <v>734</v>
      </c>
      <c r="AL29" s="411" t="s">
        <v>734</v>
      </c>
    </row>
    <row r="30" spans="2:38" x14ac:dyDescent="0.25">
      <c r="B30" s="371">
        <f t="shared" si="1"/>
        <v>26</v>
      </c>
      <c r="C30" s="72">
        <v>-4</v>
      </c>
      <c r="D30" s="74">
        <f t="shared" si="4"/>
        <v>-24</v>
      </c>
      <c r="O30" s="371">
        <f>O29+1</f>
        <v>26</v>
      </c>
      <c r="P30" s="74">
        <f t="shared" si="5"/>
        <v>92</v>
      </c>
      <c r="AA30" s="891"/>
      <c r="AB30" s="440" t="s">
        <v>799</v>
      </c>
      <c r="AC30" s="410">
        <v>8</v>
      </c>
      <c r="AD30" s="410" t="s">
        <v>785</v>
      </c>
      <c r="AE30" s="410" t="s">
        <v>780</v>
      </c>
      <c r="AF30" s="443" t="s">
        <v>800</v>
      </c>
      <c r="AG30" s="410" t="s">
        <v>734</v>
      </c>
      <c r="AH30" s="410" t="s">
        <v>734</v>
      </c>
      <c r="AI30" s="410" t="s">
        <v>734</v>
      </c>
      <c r="AJ30" s="410" t="s">
        <v>734</v>
      </c>
      <c r="AK30" s="410" t="s">
        <v>734</v>
      </c>
      <c r="AL30" s="411" t="s">
        <v>734</v>
      </c>
    </row>
    <row r="31" spans="2:38" ht="15" customHeight="1" x14ac:dyDescent="0.25">
      <c r="B31" s="371">
        <f t="shared" si="1"/>
        <v>27</v>
      </c>
      <c r="C31" s="72">
        <v>-4</v>
      </c>
      <c r="D31" s="74">
        <f t="shared" si="4"/>
        <v>-23</v>
      </c>
      <c r="O31" s="371">
        <f t="shared" si="2"/>
        <v>27</v>
      </c>
      <c r="P31" s="74">
        <f t="shared" si="5"/>
        <v>94</v>
      </c>
      <c r="AA31" s="891"/>
      <c r="AB31" s="440" t="s">
        <v>801</v>
      </c>
      <c r="AC31" s="410">
        <v>6</v>
      </c>
      <c r="AD31" s="410" t="s">
        <v>802</v>
      </c>
      <c r="AE31" s="410" t="s">
        <v>803</v>
      </c>
      <c r="AF31" s="443" t="s">
        <v>804</v>
      </c>
      <c r="AG31" s="410" t="s">
        <v>734</v>
      </c>
      <c r="AH31" s="410" t="s">
        <v>734</v>
      </c>
      <c r="AI31" s="410" t="s">
        <v>734</v>
      </c>
      <c r="AJ31" s="410" t="s">
        <v>734</v>
      </c>
      <c r="AK31" s="410" t="s">
        <v>734</v>
      </c>
      <c r="AL31" s="411" t="s">
        <v>734</v>
      </c>
    </row>
    <row r="32" spans="2:38" x14ac:dyDescent="0.25">
      <c r="B32" s="371">
        <f t="shared" si="1"/>
        <v>28</v>
      </c>
      <c r="C32" s="72">
        <v>-4</v>
      </c>
      <c r="D32" s="74">
        <f t="shared" si="4"/>
        <v>-22</v>
      </c>
      <c r="O32" s="371">
        <f t="shared" si="2"/>
        <v>28</v>
      </c>
      <c r="P32" s="74">
        <f t="shared" si="5"/>
        <v>96</v>
      </c>
      <c r="AA32" s="891" t="s">
        <v>805</v>
      </c>
      <c r="AB32" s="440" t="s">
        <v>806</v>
      </c>
      <c r="AC32" s="410">
        <v>5</v>
      </c>
      <c r="AD32" s="410" t="s">
        <v>807</v>
      </c>
      <c r="AE32" s="410" t="s">
        <v>808</v>
      </c>
      <c r="AF32" s="443" t="s">
        <v>809</v>
      </c>
      <c r="AG32" s="442">
        <v>15</v>
      </c>
      <c r="AH32" s="442">
        <v>30</v>
      </c>
      <c r="AI32" s="442">
        <v>45</v>
      </c>
      <c r="AJ32" s="442">
        <v>60</v>
      </c>
      <c r="AK32" s="442">
        <v>75</v>
      </c>
      <c r="AL32" s="411" t="s">
        <v>734</v>
      </c>
    </row>
    <row r="33" spans="2:38" x14ac:dyDescent="0.25">
      <c r="B33" s="371">
        <f t="shared" si="1"/>
        <v>29</v>
      </c>
      <c r="C33" s="72">
        <v>-4</v>
      </c>
      <c r="D33" s="74">
        <f t="shared" si="4"/>
        <v>-21</v>
      </c>
      <c r="O33" s="371">
        <f t="shared" si="2"/>
        <v>29</v>
      </c>
      <c r="P33" s="74">
        <f t="shared" si="5"/>
        <v>98</v>
      </c>
      <c r="AA33" s="891"/>
      <c r="AB33" s="440" t="s">
        <v>810</v>
      </c>
      <c r="AC33" s="410">
        <v>7</v>
      </c>
      <c r="AD33" s="410" t="s">
        <v>792</v>
      </c>
      <c r="AE33" s="410" t="s">
        <v>811</v>
      </c>
      <c r="AF33" s="443" t="s">
        <v>812</v>
      </c>
      <c r="AG33" s="410" t="s">
        <v>734</v>
      </c>
      <c r="AH33" s="410" t="s">
        <v>734</v>
      </c>
      <c r="AI33" s="410" t="s">
        <v>734</v>
      </c>
      <c r="AJ33" s="410" t="s">
        <v>734</v>
      </c>
      <c r="AK33" s="410" t="s">
        <v>734</v>
      </c>
      <c r="AL33" s="411" t="s">
        <v>734</v>
      </c>
    </row>
    <row r="34" spans="2:38" x14ac:dyDescent="0.25">
      <c r="B34" s="371">
        <f t="shared" si="1"/>
        <v>30</v>
      </c>
      <c r="C34" s="72">
        <v>-3</v>
      </c>
      <c r="D34" s="74">
        <f t="shared" si="4"/>
        <v>-20</v>
      </c>
      <c r="O34" s="371">
        <f t="shared" si="2"/>
        <v>30</v>
      </c>
      <c r="P34" s="74">
        <f t="shared" si="5"/>
        <v>100</v>
      </c>
      <c r="AA34" s="891"/>
      <c r="AB34" s="440" t="s">
        <v>813</v>
      </c>
      <c r="AC34" s="410">
        <v>7</v>
      </c>
      <c r="AD34" s="410" t="s">
        <v>792</v>
      </c>
      <c r="AE34" s="410" t="s">
        <v>814</v>
      </c>
      <c r="AF34" s="443" t="s">
        <v>815</v>
      </c>
      <c r="AG34" s="410" t="s">
        <v>734</v>
      </c>
      <c r="AH34" s="410" t="s">
        <v>734</v>
      </c>
      <c r="AI34" s="410" t="s">
        <v>734</v>
      </c>
      <c r="AJ34" s="410" t="s">
        <v>734</v>
      </c>
      <c r="AK34" s="410" t="s">
        <v>734</v>
      </c>
      <c r="AL34" s="411" t="s">
        <v>734</v>
      </c>
    </row>
    <row r="35" spans="2:38" x14ac:dyDescent="0.25">
      <c r="B35" s="371">
        <f t="shared" si="1"/>
        <v>31</v>
      </c>
      <c r="C35" s="72">
        <v>-3</v>
      </c>
      <c r="D35" s="74">
        <f t="shared" si="4"/>
        <v>-19</v>
      </c>
      <c r="O35" s="371">
        <f t="shared" si="2"/>
        <v>31</v>
      </c>
      <c r="P35" s="74">
        <f>100+(O35-30)</f>
        <v>101</v>
      </c>
      <c r="AA35" s="891"/>
      <c r="AB35" s="440" t="s">
        <v>816</v>
      </c>
      <c r="AC35" s="410">
        <v>6</v>
      </c>
      <c r="AD35" s="410" t="s">
        <v>792</v>
      </c>
      <c r="AE35" s="410" t="s">
        <v>817</v>
      </c>
      <c r="AF35" s="443" t="s">
        <v>800</v>
      </c>
      <c r="AG35" s="410" t="s">
        <v>734</v>
      </c>
      <c r="AH35" s="410" t="s">
        <v>734</v>
      </c>
      <c r="AI35" s="410" t="s">
        <v>734</v>
      </c>
      <c r="AJ35" s="410" t="s">
        <v>734</v>
      </c>
      <c r="AK35" s="410" t="s">
        <v>734</v>
      </c>
      <c r="AL35" s="411" t="s">
        <v>734</v>
      </c>
    </row>
    <row r="36" spans="2:38" x14ac:dyDescent="0.25">
      <c r="B36" s="371">
        <f t="shared" si="1"/>
        <v>32</v>
      </c>
      <c r="C36" s="72">
        <v>-3</v>
      </c>
      <c r="D36" s="74">
        <f t="shared" si="4"/>
        <v>-18</v>
      </c>
      <c r="O36" s="371">
        <f t="shared" si="2"/>
        <v>32</v>
      </c>
      <c r="P36" s="74">
        <f t="shared" ref="P36:P99" si="6">100+(O36-30)</f>
        <v>102</v>
      </c>
      <c r="AA36" s="891"/>
      <c r="AB36" s="440" t="s">
        <v>818</v>
      </c>
      <c r="AC36" s="410">
        <v>4</v>
      </c>
      <c r="AD36" s="410" t="s">
        <v>802</v>
      </c>
      <c r="AE36" s="410" t="s">
        <v>819</v>
      </c>
      <c r="AF36" s="443" t="s">
        <v>820</v>
      </c>
      <c r="AG36" s="410" t="s">
        <v>734</v>
      </c>
      <c r="AH36" s="410" t="s">
        <v>734</v>
      </c>
      <c r="AI36" s="410" t="s">
        <v>734</v>
      </c>
      <c r="AJ36" s="410" t="s">
        <v>734</v>
      </c>
      <c r="AK36" s="410" t="s">
        <v>734</v>
      </c>
      <c r="AL36" s="411" t="s">
        <v>734</v>
      </c>
    </row>
    <row r="37" spans="2:38" x14ac:dyDescent="0.25">
      <c r="B37" s="371">
        <f t="shared" si="1"/>
        <v>33</v>
      </c>
      <c r="C37" s="72">
        <v>-3</v>
      </c>
      <c r="D37" s="74">
        <f t="shared" si="4"/>
        <v>-17</v>
      </c>
      <c r="O37" s="371">
        <f t="shared" si="2"/>
        <v>33</v>
      </c>
      <c r="P37" s="74">
        <f t="shared" si="6"/>
        <v>103</v>
      </c>
      <c r="AA37" s="891"/>
      <c r="AB37" s="440" t="s">
        <v>821</v>
      </c>
      <c r="AC37" s="410">
        <v>3</v>
      </c>
      <c r="AD37" s="410" t="s">
        <v>792</v>
      </c>
      <c r="AE37" s="410" t="s">
        <v>822</v>
      </c>
      <c r="AF37" s="443" t="s">
        <v>777</v>
      </c>
      <c r="AG37" s="410" t="s">
        <v>734</v>
      </c>
      <c r="AH37" s="410" t="s">
        <v>734</v>
      </c>
      <c r="AI37" s="410" t="s">
        <v>734</v>
      </c>
      <c r="AJ37" s="410" t="s">
        <v>734</v>
      </c>
      <c r="AK37" s="410" t="s">
        <v>734</v>
      </c>
      <c r="AL37" s="411" t="s">
        <v>734</v>
      </c>
    </row>
    <row r="38" spans="2:38" x14ac:dyDescent="0.25">
      <c r="B38" s="371">
        <f t="shared" si="1"/>
        <v>34</v>
      </c>
      <c r="C38" s="72">
        <v>-3</v>
      </c>
      <c r="D38" s="74">
        <f t="shared" si="4"/>
        <v>-16</v>
      </c>
      <c r="O38" s="371">
        <f t="shared" si="2"/>
        <v>34</v>
      </c>
      <c r="P38" s="74">
        <f t="shared" si="6"/>
        <v>104</v>
      </c>
      <c r="AA38" s="891"/>
      <c r="AB38" s="440" t="s">
        <v>823</v>
      </c>
      <c r="AC38" s="410">
        <v>5</v>
      </c>
      <c r="AD38" s="410" t="s">
        <v>824</v>
      </c>
      <c r="AE38" s="410" t="s">
        <v>770</v>
      </c>
      <c r="AF38" s="443" t="s">
        <v>825</v>
      </c>
      <c r="AG38" s="410" t="s">
        <v>734</v>
      </c>
      <c r="AH38" s="410" t="s">
        <v>734</v>
      </c>
      <c r="AI38" s="410" t="s">
        <v>734</v>
      </c>
      <c r="AJ38" s="410" t="s">
        <v>734</v>
      </c>
      <c r="AK38" s="410" t="s">
        <v>734</v>
      </c>
      <c r="AL38" s="411" t="s">
        <v>734</v>
      </c>
    </row>
    <row r="39" spans="2:38" x14ac:dyDescent="0.25">
      <c r="B39" s="371">
        <f t="shared" si="1"/>
        <v>35</v>
      </c>
      <c r="C39" s="72">
        <v>-3</v>
      </c>
      <c r="D39" s="74">
        <f t="shared" si="4"/>
        <v>-15</v>
      </c>
      <c r="O39" s="371">
        <f>O38+1</f>
        <v>35</v>
      </c>
      <c r="P39" s="74">
        <f t="shared" si="6"/>
        <v>105</v>
      </c>
      <c r="AA39" s="891"/>
      <c r="AB39" s="440" t="s">
        <v>826</v>
      </c>
      <c r="AC39" s="410">
        <v>9</v>
      </c>
      <c r="AD39" s="410" t="s">
        <v>824</v>
      </c>
      <c r="AE39" s="410" t="s">
        <v>780</v>
      </c>
      <c r="AF39" s="443" t="s">
        <v>800</v>
      </c>
      <c r="AG39" s="410" t="s">
        <v>734</v>
      </c>
      <c r="AH39" s="410" t="s">
        <v>734</v>
      </c>
      <c r="AI39" s="410" t="s">
        <v>734</v>
      </c>
      <c r="AJ39" s="410" t="s">
        <v>734</v>
      </c>
      <c r="AK39" s="410" t="s">
        <v>734</v>
      </c>
      <c r="AL39" s="411" t="s">
        <v>734</v>
      </c>
    </row>
    <row r="40" spans="2:38" x14ac:dyDescent="0.25">
      <c r="B40" s="371">
        <f t="shared" si="1"/>
        <v>36</v>
      </c>
      <c r="C40" s="72">
        <v>-2</v>
      </c>
      <c r="D40" s="74">
        <f t="shared" si="4"/>
        <v>-14</v>
      </c>
      <c r="O40" s="371">
        <f t="shared" si="2"/>
        <v>36</v>
      </c>
      <c r="P40" s="74">
        <f t="shared" si="6"/>
        <v>106</v>
      </c>
      <c r="AA40" s="891"/>
      <c r="AB40" s="440" t="s">
        <v>827</v>
      </c>
      <c r="AC40" s="410">
        <v>6</v>
      </c>
      <c r="AD40" s="410" t="s">
        <v>828</v>
      </c>
      <c r="AE40" s="410" t="s">
        <v>829</v>
      </c>
      <c r="AF40" s="443" t="s">
        <v>815</v>
      </c>
      <c r="AG40" s="410" t="s">
        <v>734</v>
      </c>
      <c r="AH40" s="410" t="s">
        <v>734</v>
      </c>
      <c r="AI40" s="410" t="s">
        <v>734</v>
      </c>
      <c r="AJ40" s="410" t="s">
        <v>734</v>
      </c>
      <c r="AK40" s="410" t="s">
        <v>734</v>
      </c>
      <c r="AL40" s="411" t="s">
        <v>734</v>
      </c>
    </row>
    <row r="41" spans="2:38" x14ac:dyDescent="0.25">
      <c r="B41" s="371">
        <f t="shared" si="1"/>
        <v>37</v>
      </c>
      <c r="C41" s="72">
        <v>-2</v>
      </c>
      <c r="D41" s="74">
        <f t="shared" si="4"/>
        <v>-13</v>
      </c>
      <c r="O41" s="371">
        <f t="shared" si="2"/>
        <v>37</v>
      </c>
      <c r="P41" s="74">
        <f t="shared" si="6"/>
        <v>107</v>
      </c>
      <c r="AA41" s="892" t="s">
        <v>830</v>
      </c>
      <c r="AB41" s="440" t="s">
        <v>831</v>
      </c>
      <c r="AC41" s="410">
        <v>7</v>
      </c>
      <c r="AD41" s="410" t="s">
        <v>832</v>
      </c>
      <c r="AE41" s="410" t="s">
        <v>833</v>
      </c>
      <c r="AF41" s="443" t="s">
        <v>834</v>
      </c>
      <c r="AG41" s="442">
        <v>20</v>
      </c>
      <c r="AH41" s="442">
        <v>40</v>
      </c>
      <c r="AI41" s="442">
        <v>60</v>
      </c>
      <c r="AJ41" s="442">
        <v>80</v>
      </c>
      <c r="AK41" s="442">
        <v>100</v>
      </c>
      <c r="AL41" s="411" t="s">
        <v>734</v>
      </c>
    </row>
    <row r="42" spans="2:38" x14ac:dyDescent="0.25">
      <c r="B42" s="371">
        <f t="shared" si="1"/>
        <v>38</v>
      </c>
      <c r="C42" s="72">
        <v>-2</v>
      </c>
      <c r="D42" s="74">
        <f t="shared" si="4"/>
        <v>-12</v>
      </c>
      <c r="O42" s="371">
        <f t="shared" si="2"/>
        <v>38</v>
      </c>
      <c r="P42" s="74">
        <f t="shared" si="6"/>
        <v>108</v>
      </c>
      <c r="AA42" s="892"/>
      <c r="AB42" s="440" t="s">
        <v>835</v>
      </c>
      <c r="AC42" s="410">
        <v>4</v>
      </c>
      <c r="AD42" s="410" t="s">
        <v>769</v>
      </c>
      <c r="AE42" s="410" t="s">
        <v>836</v>
      </c>
      <c r="AF42" s="443" t="s">
        <v>777</v>
      </c>
      <c r="AG42" s="442">
        <v>25</v>
      </c>
      <c r="AH42" s="442">
        <v>50</v>
      </c>
      <c r="AI42" s="442">
        <v>75</v>
      </c>
      <c r="AJ42" s="442">
        <v>100</v>
      </c>
      <c r="AK42" s="442">
        <v>125</v>
      </c>
      <c r="AL42" s="411" t="s">
        <v>734</v>
      </c>
    </row>
    <row r="43" spans="2:38" x14ac:dyDescent="0.25">
      <c r="B43" s="371">
        <f t="shared" si="1"/>
        <v>39</v>
      </c>
      <c r="C43" s="72">
        <v>-2</v>
      </c>
      <c r="D43" s="74">
        <f t="shared" si="4"/>
        <v>-11</v>
      </c>
      <c r="O43" s="371">
        <f t="shared" si="2"/>
        <v>39</v>
      </c>
      <c r="P43" s="74">
        <f t="shared" si="6"/>
        <v>109</v>
      </c>
      <c r="AA43" s="892"/>
      <c r="AB43" s="440" t="s">
        <v>837</v>
      </c>
      <c r="AC43" s="410">
        <v>6</v>
      </c>
      <c r="AD43" s="410" t="s">
        <v>838</v>
      </c>
      <c r="AE43" s="410" t="s">
        <v>839</v>
      </c>
      <c r="AF43" s="443" t="s">
        <v>840</v>
      </c>
      <c r="AG43" s="442">
        <v>45</v>
      </c>
      <c r="AH43" s="442">
        <v>90</v>
      </c>
      <c r="AI43" s="442">
        <v>135</v>
      </c>
      <c r="AJ43" s="442">
        <v>180</v>
      </c>
      <c r="AK43" s="442">
        <v>225</v>
      </c>
      <c r="AL43" s="411" t="s">
        <v>734</v>
      </c>
    </row>
    <row r="44" spans="2:38" x14ac:dyDescent="0.25">
      <c r="B44" s="371">
        <f t="shared" si="1"/>
        <v>40</v>
      </c>
      <c r="C44" s="72">
        <v>-2</v>
      </c>
      <c r="D44" s="74">
        <f t="shared" si="4"/>
        <v>-10</v>
      </c>
      <c r="O44" s="371">
        <f t="shared" si="2"/>
        <v>40</v>
      </c>
      <c r="P44" s="74">
        <f t="shared" si="6"/>
        <v>110</v>
      </c>
      <c r="AA44" s="892"/>
      <c r="AB44" s="440" t="s">
        <v>841</v>
      </c>
      <c r="AC44" s="410">
        <v>4</v>
      </c>
      <c r="AD44" s="410" t="s">
        <v>842</v>
      </c>
      <c r="AE44" s="410" t="s">
        <v>843</v>
      </c>
      <c r="AF44" s="443" t="s">
        <v>844</v>
      </c>
      <c r="AG44" s="442">
        <v>60</v>
      </c>
      <c r="AH44" s="442">
        <v>120</v>
      </c>
      <c r="AI44" s="442">
        <v>180</v>
      </c>
      <c r="AJ44" s="442">
        <v>240</v>
      </c>
      <c r="AK44" s="442">
        <v>300</v>
      </c>
      <c r="AL44" s="411" t="s">
        <v>734</v>
      </c>
    </row>
    <row r="45" spans="2:38" x14ac:dyDescent="0.25">
      <c r="B45" s="371">
        <f t="shared" si="1"/>
        <v>41</v>
      </c>
      <c r="C45" s="72">
        <v>-2</v>
      </c>
      <c r="D45" s="74">
        <f t="shared" si="4"/>
        <v>-9</v>
      </c>
      <c r="O45" s="371">
        <f t="shared" si="2"/>
        <v>41</v>
      </c>
      <c r="P45" s="74">
        <f t="shared" si="6"/>
        <v>111</v>
      </c>
      <c r="AA45" s="892"/>
      <c r="AB45" s="440" t="s">
        <v>845</v>
      </c>
      <c r="AC45" s="410">
        <v>5</v>
      </c>
      <c r="AD45" s="410" t="s">
        <v>846</v>
      </c>
      <c r="AE45" s="410" t="s">
        <v>822</v>
      </c>
      <c r="AF45" s="443" t="s">
        <v>847</v>
      </c>
      <c r="AG45" s="442">
        <v>100</v>
      </c>
      <c r="AH45" s="442">
        <v>200</v>
      </c>
      <c r="AI45" s="442">
        <v>300</v>
      </c>
      <c r="AJ45" s="442">
        <v>400</v>
      </c>
      <c r="AK45" s="442">
        <v>500</v>
      </c>
      <c r="AL45" s="411" t="s">
        <v>734</v>
      </c>
    </row>
    <row r="46" spans="2:38" x14ac:dyDescent="0.25">
      <c r="B46" s="371">
        <f t="shared" si="1"/>
        <v>42</v>
      </c>
      <c r="C46" s="72">
        <v>-1</v>
      </c>
      <c r="D46" s="74">
        <f t="shared" si="4"/>
        <v>-8</v>
      </c>
      <c r="O46" s="371">
        <f t="shared" si="2"/>
        <v>42</v>
      </c>
      <c r="P46" s="74">
        <f t="shared" si="6"/>
        <v>112</v>
      </c>
      <c r="AA46" s="892"/>
      <c r="AB46" s="440" t="s">
        <v>848</v>
      </c>
      <c r="AC46" s="410">
        <v>4</v>
      </c>
      <c r="AD46" s="410" t="s">
        <v>849</v>
      </c>
      <c r="AE46" s="410" t="s">
        <v>850</v>
      </c>
      <c r="AF46" s="443" t="s">
        <v>800</v>
      </c>
      <c r="AG46" s="442">
        <v>70</v>
      </c>
      <c r="AH46" s="442">
        <v>140</v>
      </c>
      <c r="AI46" s="442">
        <v>210</v>
      </c>
      <c r="AJ46" s="442">
        <v>280</v>
      </c>
      <c r="AK46" s="442">
        <v>350</v>
      </c>
      <c r="AL46" s="444" t="s">
        <v>916</v>
      </c>
    </row>
    <row r="47" spans="2:38" x14ac:dyDescent="0.25">
      <c r="B47" s="371">
        <f t="shared" si="1"/>
        <v>43</v>
      </c>
      <c r="C47" s="72">
        <v>-1</v>
      </c>
      <c r="D47" s="74">
        <f t="shared" si="4"/>
        <v>-7</v>
      </c>
      <c r="O47" s="371">
        <f t="shared" si="2"/>
        <v>43</v>
      </c>
      <c r="P47" s="74">
        <f t="shared" si="6"/>
        <v>113</v>
      </c>
      <c r="AA47" s="893"/>
      <c r="AB47" s="445" t="s">
        <v>851</v>
      </c>
      <c r="AC47" s="446">
        <v>4</v>
      </c>
      <c r="AD47" s="446" t="s">
        <v>842</v>
      </c>
      <c r="AE47" s="446" t="s">
        <v>852</v>
      </c>
      <c r="AF47" s="447" t="s">
        <v>853</v>
      </c>
      <c r="AG47" s="448">
        <v>80</v>
      </c>
      <c r="AH47" s="448">
        <v>160</v>
      </c>
      <c r="AI47" s="448">
        <v>240</v>
      </c>
      <c r="AJ47" s="448">
        <v>320</v>
      </c>
      <c r="AK47" s="448">
        <v>400</v>
      </c>
      <c r="AL47" s="449" t="s">
        <v>854</v>
      </c>
    </row>
    <row r="48" spans="2:38" x14ac:dyDescent="0.25">
      <c r="B48" s="371">
        <f t="shared" si="1"/>
        <v>44</v>
      </c>
      <c r="C48" s="72">
        <v>-1</v>
      </c>
      <c r="D48" s="74">
        <f t="shared" si="4"/>
        <v>-6</v>
      </c>
      <c r="O48" s="371">
        <f t="shared" si="2"/>
        <v>44</v>
      </c>
      <c r="P48" s="74">
        <f t="shared" si="6"/>
        <v>114</v>
      </c>
      <c r="AA48" s="894" t="s">
        <v>855</v>
      </c>
      <c r="AB48" s="414" t="s">
        <v>856</v>
      </c>
      <c r="AC48" s="410">
        <v>2</v>
      </c>
      <c r="AD48" s="821"/>
      <c r="AE48" s="821"/>
      <c r="AF48" s="821"/>
      <c r="AG48" s="442">
        <v>25</v>
      </c>
      <c r="AH48" s="442">
        <v>50</v>
      </c>
      <c r="AI48" s="442">
        <v>75</v>
      </c>
      <c r="AJ48" s="442">
        <v>100</v>
      </c>
      <c r="AK48" s="442">
        <v>125</v>
      </c>
      <c r="AL48" s="416" t="s">
        <v>734</v>
      </c>
    </row>
    <row r="49" spans="2:38" x14ac:dyDescent="0.25">
      <c r="B49" s="371">
        <f t="shared" si="1"/>
        <v>45</v>
      </c>
      <c r="C49" s="72">
        <v>-1</v>
      </c>
      <c r="D49" s="74">
        <f t="shared" si="4"/>
        <v>-5</v>
      </c>
      <c r="O49" s="371">
        <f t="shared" si="2"/>
        <v>45</v>
      </c>
      <c r="P49" s="74">
        <f t="shared" si="6"/>
        <v>115</v>
      </c>
      <c r="AA49" s="895"/>
      <c r="AB49" s="414" t="s">
        <v>857</v>
      </c>
      <c r="AC49" s="410">
        <v>2</v>
      </c>
      <c r="AD49" s="821"/>
      <c r="AE49" s="821"/>
      <c r="AF49" s="821"/>
      <c r="AG49" s="442">
        <v>25</v>
      </c>
      <c r="AH49" s="442">
        <v>50</v>
      </c>
      <c r="AI49" s="442">
        <v>75</v>
      </c>
      <c r="AJ49" s="442">
        <v>100</v>
      </c>
      <c r="AK49" s="442">
        <v>125</v>
      </c>
      <c r="AL49" s="416" t="s">
        <v>734</v>
      </c>
    </row>
    <row r="50" spans="2:38" x14ac:dyDescent="0.25">
      <c r="B50" s="371">
        <f t="shared" si="1"/>
        <v>46</v>
      </c>
      <c r="C50" s="72">
        <v>-1</v>
      </c>
      <c r="D50" s="74">
        <f t="shared" si="4"/>
        <v>-4</v>
      </c>
      <c r="O50" s="371">
        <f t="shared" si="2"/>
        <v>46</v>
      </c>
      <c r="P50" s="74">
        <f t="shared" si="6"/>
        <v>116</v>
      </c>
      <c r="AA50" s="895"/>
      <c r="AB50" s="414" t="s">
        <v>857</v>
      </c>
      <c r="AC50" s="410">
        <v>2</v>
      </c>
      <c r="AD50" s="821"/>
      <c r="AE50" s="821"/>
      <c r="AF50" s="821"/>
      <c r="AG50" s="442">
        <v>25</v>
      </c>
      <c r="AH50" s="442">
        <v>50</v>
      </c>
      <c r="AI50" s="442">
        <v>75</v>
      </c>
      <c r="AJ50" s="442">
        <v>100</v>
      </c>
      <c r="AK50" s="442">
        <v>125</v>
      </c>
      <c r="AL50" s="416" t="s">
        <v>734</v>
      </c>
    </row>
    <row r="51" spans="2:38" x14ac:dyDescent="0.25">
      <c r="B51" s="371">
        <f t="shared" si="1"/>
        <v>47</v>
      </c>
      <c r="C51" s="72">
        <v>-1</v>
      </c>
      <c r="D51" s="74">
        <f t="shared" si="4"/>
        <v>-3</v>
      </c>
      <c r="O51" s="371">
        <f t="shared" si="2"/>
        <v>47</v>
      </c>
      <c r="P51" s="74">
        <f t="shared" si="6"/>
        <v>117</v>
      </c>
      <c r="AA51" s="895"/>
      <c r="AB51" s="414" t="s">
        <v>858</v>
      </c>
      <c r="AC51" s="410">
        <v>2</v>
      </c>
      <c r="AD51" s="821"/>
      <c r="AE51" s="821"/>
      <c r="AF51" s="821"/>
      <c r="AG51" s="442">
        <v>25</v>
      </c>
      <c r="AH51" s="442">
        <v>50</v>
      </c>
      <c r="AI51" s="442">
        <v>75</v>
      </c>
      <c r="AJ51" s="442">
        <v>100</v>
      </c>
      <c r="AK51" s="442">
        <v>125</v>
      </c>
      <c r="AL51" s="416" t="s">
        <v>734</v>
      </c>
    </row>
    <row r="52" spans="2:38" x14ac:dyDescent="0.25">
      <c r="B52" s="371">
        <f t="shared" si="1"/>
        <v>48</v>
      </c>
      <c r="C52" s="72">
        <v>0</v>
      </c>
      <c r="D52" s="74">
        <f t="shared" si="4"/>
        <v>-2</v>
      </c>
      <c r="O52" s="371">
        <f t="shared" si="2"/>
        <v>48</v>
      </c>
      <c r="P52" s="74">
        <f t="shared" si="6"/>
        <v>118</v>
      </c>
      <c r="AA52" s="895"/>
      <c r="AB52" s="414" t="s">
        <v>859</v>
      </c>
      <c r="AC52" s="410">
        <v>2</v>
      </c>
      <c r="AD52" s="821"/>
      <c r="AE52" s="821"/>
      <c r="AF52" s="821"/>
      <c r="AG52" s="442">
        <v>25</v>
      </c>
      <c r="AH52" s="442">
        <v>50</v>
      </c>
      <c r="AI52" s="442">
        <v>75</v>
      </c>
      <c r="AJ52" s="442">
        <v>100</v>
      </c>
      <c r="AK52" s="442">
        <v>125</v>
      </c>
      <c r="AL52" s="416" t="s">
        <v>734</v>
      </c>
    </row>
    <row r="53" spans="2:38" x14ac:dyDescent="0.25">
      <c r="B53" s="371">
        <f t="shared" si="1"/>
        <v>49</v>
      </c>
      <c r="C53" s="72">
        <v>0</v>
      </c>
      <c r="D53" s="74">
        <f t="shared" si="4"/>
        <v>-1</v>
      </c>
      <c r="O53" s="371">
        <f t="shared" si="2"/>
        <v>49</v>
      </c>
      <c r="P53" s="74">
        <f t="shared" si="6"/>
        <v>119</v>
      </c>
      <c r="AA53" s="895"/>
      <c r="AB53" s="414" t="s">
        <v>860</v>
      </c>
      <c r="AC53" s="410">
        <v>2</v>
      </c>
      <c r="AD53" s="821"/>
      <c r="AE53" s="821"/>
      <c r="AF53" s="821"/>
      <c r="AG53" s="442">
        <v>25</v>
      </c>
      <c r="AH53" s="442">
        <v>50</v>
      </c>
      <c r="AI53" s="442">
        <v>75</v>
      </c>
      <c r="AJ53" s="442">
        <v>100</v>
      </c>
      <c r="AK53" s="442">
        <v>125</v>
      </c>
      <c r="AL53" s="416" t="s">
        <v>734</v>
      </c>
    </row>
    <row r="54" spans="2:38" x14ac:dyDescent="0.25">
      <c r="B54" s="371">
        <f t="shared" si="1"/>
        <v>50</v>
      </c>
      <c r="C54" s="72">
        <v>0</v>
      </c>
      <c r="D54" s="74">
        <f t="shared" si="4"/>
        <v>0</v>
      </c>
      <c r="O54" s="371">
        <f t="shared" si="2"/>
        <v>50</v>
      </c>
      <c r="P54" s="74">
        <f t="shared" si="6"/>
        <v>120</v>
      </c>
      <c r="AA54" s="895"/>
      <c r="AB54" s="414" t="s">
        <v>861</v>
      </c>
      <c r="AC54" s="410">
        <v>2</v>
      </c>
      <c r="AD54" s="821"/>
      <c r="AE54" s="821"/>
      <c r="AF54" s="821"/>
      <c r="AG54" s="442">
        <v>25</v>
      </c>
      <c r="AH54" s="442">
        <v>50</v>
      </c>
      <c r="AI54" s="442">
        <v>75</v>
      </c>
      <c r="AJ54" s="442">
        <v>100</v>
      </c>
      <c r="AK54" s="442">
        <v>125</v>
      </c>
      <c r="AL54" s="416" t="s">
        <v>734</v>
      </c>
    </row>
    <row r="55" spans="2:38" ht="15.75" thickBot="1" x14ac:dyDescent="0.3">
      <c r="B55" s="371">
        <f t="shared" si="1"/>
        <v>51</v>
      </c>
      <c r="C55" s="72">
        <v>0</v>
      </c>
      <c r="D55" s="74">
        <f t="shared" si="4"/>
        <v>1</v>
      </c>
      <c r="O55" s="371">
        <f t="shared" si="2"/>
        <v>51</v>
      </c>
      <c r="P55" s="74">
        <f t="shared" si="6"/>
        <v>121</v>
      </c>
      <c r="AA55" s="896"/>
      <c r="AB55" s="412" t="s">
        <v>862</v>
      </c>
      <c r="AC55" s="413">
        <v>2</v>
      </c>
      <c r="AD55" s="805"/>
      <c r="AE55" s="805"/>
      <c r="AF55" s="805"/>
      <c r="AG55" s="450">
        <v>25</v>
      </c>
      <c r="AH55" s="450">
        <v>50</v>
      </c>
      <c r="AI55" s="450">
        <v>75</v>
      </c>
      <c r="AJ55" s="450">
        <v>100</v>
      </c>
      <c r="AK55" s="450">
        <v>125</v>
      </c>
      <c r="AL55" s="415" t="s">
        <v>734</v>
      </c>
    </row>
    <row r="56" spans="2:38" x14ac:dyDescent="0.25">
      <c r="B56" s="371">
        <f t="shared" si="1"/>
        <v>52</v>
      </c>
      <c r="C56" s="72">
        <v>0</v>
      </c>
      <c r="D56" s="74">
        <f t="shared" si="4"/>
        <v>2</v>
      </c>
      <c r="O56" s="371">
        <f t="shared" si="2"/>
        <v>52</v>
      </c>
      <c r="P56" s="74">
        <f t="shared" si="6"/>
        <v>122</v>
      </c>
    </row>
    <row r="57" spans="2:38" x14ac:dyDescent="0.25">
      <c r="B57" s="371">
        <f t="shared" si="1"/>
        <v>53</v>
      </c>
      <c r="C57" s="72">
        <v>0</v>
      </c>
      <c r="D57" s="74">
        <f t="shared" si="4"/>
        <v>3</v>
      </c>
      <c r="O57" s="371">
        <f t="shared" si="2"/>
        <v>53</v>
      </c>
      <c r="P57" s="74">
        <f t="shared" si="6"/>
        <v>123</v>
      </c>
    </row>
    <row r="58" spans="2:38" x14ac:dyDescent="0.25">
      <c r="B58" s="371">
        <f t="shared" si="1"/>
        <v>54</v>
      </c>
      <c r="C58" s="72">
        <v>1</v>
      </c>
      <c r="D58" s="74">
        <f t="shared" si="4"/>
        <v>4</v>
      </c>
      <c r="O58" s="371">
        <f t="shared" si="2"/>
        <v>54</v>
      </c>
      <c r="P58" s="74">
        <f t="shared" si="6"/>
        <v>124</v>
      </c>
    </row>
    <row r="59" spans="2:38" x14ac:dyDescent="0.25">
      <c r="B59" s="371">
        <f t="shared" si="1"/>
        <v>55</v>
      </c>
      <c r="C59" s="72">
        <v>1</v>
      </c>
      <c r="D59" s="74">
        <f t="shared" si="4"/>
        <v>5</v>
      </c>
      <c r="O59" s="371">
        <f t="shared" si="2"/>
        <v>55</v>
      </c>
      <c r="P59" s="74">
        <f t="shared" si="6"/>
        <v>125</v>
      </c>
    </row>
    <row r="60" spans="2:38" x14ac:dyDescent="0.25">
      <c r="B60" s="371">
        <f t="shared" si="1"/>
        <v>56</v>
      </c>
      <c r="C60" s="72">
        <v>1</v>
      </c>
      <c r="D60" s="74">
        <f t="shared" si="4"/>
        <v>6</v>
      </c>
      <c r="O60" s="371">
        <f t="shared" si="2"/>
        <v>56</v>
      </c>
      <c r="P60" s="74">
        <f t="shared" si="6"/>
        <v>126</v>
      </c>
    </row>
    <row r="61" spans="2:38" x14ac:dyDescent="0.25">
      <c r="B61" s="371">
        <f t="shared" si="1"/>
        <v>57</v>
      </c>
      <c r="C61" s="72">
        <v>1</v>
      </c>
      <c r="D61" s="74">
        <f t="shared" si="4"/>
        <v>7</v>
      </c>
      <c r="O61" s="371">
        <f t="shared" si="2"/>
        <v>57</v>
      </c>
      <c r="P61" s="74">
        <f t="shared" si="6"/>
        <v>127</v>
      </c>
    </row>
    <row r="62" spans="2:38" x14ac:dyDescent="0.25">
      <c r="B62" s="371">
        <f t="shared" si="1"/>
        <v>58</v>
      </c>
      <c r="C62" s="72">
        <v>1</v>
      </c>
      <c r="D62" s="74">
        <f t="shared" si="4"/>
        <v>8</v>
      </c>
      <c r="O62" s="371">
        <f t="shared" si="2"/>
        <v>58</v>
      </c>
      <c r="P62" s="74">
        <f t="shared" si="6"/>
        <v>128</v>
      </c>
    </row>
    <row r="63" spans="2:38" x14ac:dyDescent="0.25">
      <c r="B63" s="371">
        <f t="shared" si="1"/>
        <v>59</v>
      </c>
      <c r="C63" s="72">
        <v>1</v>
      </c>
      <c r="D63" s="74">
        <f t="shared" si="4"/>
        <v>9</v>
      </c>
      <c r="O63" s="371">
        <f t="shared" si="2"/>
        <v>59</v>
      </c>
      <c r="P63" s="74">
        <f t="shared" si="6"/>
        <v>129</v>
      </c>
    </row>
    <row r="64" spans="2:38" x14ac:dyDescent="0.25">
      <c r="B64" s="371">
        <f t="shared" si="1"/>
        <v>60</v>
      </c>
      <c r="C64" s="72">
        <v>2</v>
      </c>
      <c r="D64" s="74">
        <f t="shared" si="4"/>
        <v>10</v>
      </c>
      <c r="O64" s="371">
        <f t="shared" si="2"/>
        <v>60</v>
      </c>
      <c r="P64" s="74">
        <f t="shared" si="6"/>
        <v>130</v>
      </c>
    </row>
    <row r="65" spans="2:16" x14ac:dyDescent="0.25">
      <c r="B65" s="371">
        <f>B64+1</f>
        <v>61</v>
      </c>
      <c r="C65" s="72">
        <v>2</v>
      </c>
      <c r="D65" s="74">
        <f t="shared" si="4"/>
        <v>11</v>
      </c>
      <c r="O65" s="371">
        <f t="shared" si="2"/>
        <v>61</v>
      </c>
      <c r="P65" s="74">
        <f t="shared" si="6"/>
        <v>131</v>
      </c>
    </row>
    <row r="66" spans="2:16" x14ac:dyDescent="0.25">
      <c r="B66" s="371">
        <f t="shared" si="1"/>
        <v>62</v>
      </c>
      <c r="C66" s="72">
        <v>2</v>
      </c>
      <c r="D66" s="74">
        <f t="shared" si="4"/>
        <v>12</v>
      </c>
      <c r="O66" s="371">
        <f t="shared" si="2"/>
        <v>62</v>
      </c>
      <c r="P66" s="74">
        <f t="shared" si="6"/>
        <v>132</v>
      </c>
    </row>
    <row r="67" spans="2:16" x14ac:dyDescent="0.25">
      <c r="B67" s="371">
        <f t="shared" si="1"/>
        <v>63</v>
      </c>
      <c r="C67" s="72">
        <v>2</v>
      </c>
      <c r="D67" s="74">
        <f t="shared" si="4"/>
        <v>13</v>
      </c>
      <c r="O67" s="371">
        <f t="shared" si="2"/>
        <v>63</v>
      </c>
      <c r="P67" s="74">
        <f t="shared" si="6"/>
        <v>133</v>
      </c>
    </row>
    <row r="68" spans="2:16" x14ac:dyDescent="0.25">
      <c r="B68" s="371">
        <f t="shared" si="1"/>
        <v>64</v>
      </c>
      <c r="C68" s="72">
        <v>2</v>
      </c>
      <c r="D68" s="74">
        <f t="shared" si="4"/>
        <v>14</v>
      </c>
      <c r="O68" s="371">
        <f t="shared" si="2"/>
        <v>64</v>
      </c>
      <c r="P68" s="74">
        <f t="shared" si="6"/>
        <v>134</v>
      </c>
    </row>
    <row r="69" spans="2:16" x14ac:dyDescent="0.25">
      <c r="B69" s="371">
        <f t="shared" si="1"/>
        <v>65</v>
      </c>
      <c r="C69" s="72">
        <v>2</v>
      </c>
      <c r="D69" s="74">
        <f t="shared" si="4"/>
        <v>15</v>
      </c>
      <c r="O69" s="371">
        <f t="shared" si="2"/>
        <v>65</v>
      </c>
      <c r="P69" s="74">
        <f t="shared" si="6"/>
        <v>135</v>
      </c>
    </row>
    <row r="70" spans="2:16" x14ac:dyDescent="0.25">
      <c r="B70" s="371">
        <f t="shared" si="1"/>
        <v>66</v>
      </c>
      <c r="C70" s="72">
        <v>3</v>
      </c>
      <c r="D70" s="74">
        <f t="shared" si="4"/>
        <v>16</v>
      </c>
      <c r="O70" s="371">
        <f t="shared" si="2"/>
        <v>66</v>
      </c>
      <c r="P70" s="74">
        <f t="shared" si="6"/>
        <v>136</v>
      </c>
    </row>
    <row r="71" spans="2:16" x14ac:dyDescent="0.25">
      <c r="B71" s="371">
        <f t="shared" ref="B71:B89" si="7">B70+1</f>
        <v>67</v>
      </c>
      <c r="C71" s="72">
        <v>3</v>
      </c>
      <c r="D71" s="74">
        <f t="shared" si="4"/>
        <v>17</v>
      </c>
      <c r="O71" s="371">
        <f t="shared" ref="O71:O104" si="8">O70+1</f>
        <v>67</v>
      </c>
      <c r="P71" s="74">
        <f t="shared" si="6"/>
        <v>137</v>
      </c>
    </row>
    <row r="72" spans="2:16" x14ac:dyDescent="0.25">
      <c r="B72" s="371">
        <f t="shared" si="7"/>
        <v>68</v>
      </c>
      <c r="C72" s="72">
        <v>3</v>
      </c>
      <c r="D72" s="74">
        <f t="shared" si="4"/>
        <v>18</v>
      </c>
      <c r="O72" s="371">
        <f t="shared" si="8"/>
        <v>68</v>
      </c>
      <c r="P72" s="74">
        <f t="shared" si="6"/>
        <v>138</v>
      </c>
    </row>
    <row r="73" spans="2:16" x14ac:dyDescent="0.25">
      <c r="B73" s="371">
        <f t="shared" si="7"/>
        <v>69</v>
      </c>
      <c r="C73" s="72">
        <v>3</v>
      </c>
      <c r="D73" s="74">
        <f t="shared" si="4"/>
        <v>19</v>
      </c>
      <c r="O73" s="371">
        <f t="shared" si="8"/>
        <v>69</v>
      </c>
      <c r="P73" s="74">
        <f t="shared" si="6"/>
        <v>139</v>
      </c>
    </row>
    <row r="74" spans="2:16" x14ac:dyDescent="0.25">
      <c r="B74" s="371">
        <f t="shared" si="7"/>
        <v>70</v>
      </c>
      <c r="C74" s="72">
        <v>3</v>
      </c>
      <c r="D74" s="74">
        <f t="shared" si="4"/>
        <v>20</v>
      </c>
      <c r="O74" s="371">
        <f t="shared" si="8"/>
        <v>70</v>
      </c>
      <c r="P74" s="74">
        <f t="shared" si="6"/>
        <v>140</v>
      </c>
    </row>
    <row r="75" spans="2:16" x14ac:dyDescent="0.25">
      <c r="B75" s="371">
        <f t="shared" si="7"/>
        <v>71</v>
      </c>
      <c r="C75" s="72">
        <v>3</v>
      </c>
      <c r="D75" s="74">
        <f t="shared" si="4"/>
        <v>21</v>
      </c>
      <c r="O75" s="371">
        <f t="shared" si="8"/>
        <v>71</v>
      </c>
      <c r="P75" s="74">
        <f t="shared" si="6"/>
        <v>141</v>
      </c>
    </row>
    <row r="76" spans="2:16" x14ac:dyDescent="0.25">
      <c r="B76" s="371">
        <f t="shared" si="7"/>
        <v>72</v>
      </c>
      <c r="C76" s="72">
        <v>4</v>
      </c>
      <c r="D76" s="74">
        <f t="shared" si="4"/>
        <v>22</v>
      </c>
      <c r="O76" s="371">
        <f t="shared" si="8"/>
        <v>72</v>
      </c>
      <c r="P76" s="74">
        <f t="shared" si="6"/>
        <v>142</v>
      </c>
    </row>
    <row r="77" spans="2:16" x14ac:dyDescent="0.25">
      <c r="B77" s="371">
        <f t="shared" si="7"/>
        <v>73</v>
      </c>
      <c r="C77" s="72">
        <v>4</v>
      </c>
      <c r="D77" s="74">
        <f t="shared" si="4"/>
        <v>23</v>
      </c>
      <c r="O77" s="371">
        <f t="shared" si="8"/>
        <v>73</v>
      </c>
      <c r="P77" s="74">
        <f t="shared" si="6"/>
        <v>143</v>
      </c>
    </row>
    <row r="78" spans="2:16" x14ac:dyDescent="0.25">
      <c r="B78" s="371">
        <f t="shared" si="7"/>
        <v>74</v>
      </c>
      <c r="C78" s="72">
        <v>4</v>
      </c>
      <c r="D78" s="74">
        <f t="shared" si="4"/>
        <v>24</v>
      </c>
      <c r="O78" s="371">
        <f t="shared" si="8"/>
        <v>74</v>
      </c>
      <c r="P78" s="74">
        <f t="shared" si="6"/>
        <v>144</v>
      </c>
    </row>
    <row r="79" spans="2:16" x14ac:dyDescent="0.25">
      <c r="B79" s="371">
        <f t="shared" si="7"/>
        <v>75</v>
      </c>
      <c r="C79" s="72">
        <v>4</v>
      </c>
      <c r="D79" s="74">
        <f t="shared" si="4"/>
        <v>25</v>
      </c>
      <c r="O79" s="371">
        <f t="shared" si="8"/>
        <v>75</v>
      </c>
      <c r="P79" s="74">
        <f t="shared" si="6"/>
        <v>145</v>
      </c>
    </row>
    <row r="80" spans="2:16" x14ac:dyDescent="0.25">
      <c r="B80" s="371">
        <f t="shared" si="7"/>
        <v>76</v>
      </c>
      <c r="C80" s="72">
        <v>4</v>
      </c>
      <c r="D80" s="74">
        <f t="shared" si="4"/>
        <v>26</v>
      </c>
      <c r="O80" s="371">
        <f t="shared" si="8"/>
        <v>76</v>
      </c>
      <c r="P80" s="74">
        <f t="shared" si="6"/>
        <v>146</v>
      </c>
    </row>
    <row r="81" spans="2:16" x14ac:dyDescent="0.25">
      <c r="B81" s="371">
        <f t="shared" si="7"/>
        <v>77</v>
      </c>
      <c r="C81" s="72">
        <v>4</v>
      </c>
      <c r="D81" s="74">
        <f t="shared" si="4"/>
        <v>27</v>
      </c>
      <c r="O81" s="371">
        <f t="shared" si="8"/>
        <v>77</v>
      </c>
      <c r="P81" s="74">
        <f t="shared" si="6"/>
        <v>147</v>
      </c>
    </row>
    <row r="82" spans="2:16" x14ac:dyDescent="0.25">
      <c r="B82" s="371">
        <f t="shared" si="7"/>
        <v>78</v>
      </c>
      <c r="C82" s="72">
        <v>5</v>
      </c>
      <c r="D82" s="74">
        <f t="shared" si="4"/>
        <v>28</v>
      </c>
      <c r="O82" s="371">
        <f t="shared" si="8"/>
        <v>78</v>
      </c>
      <c r="P82" s="74">
        <f t="shared" si="6"/>
        <v>148</v>
      </c>
    </row>
    <row r="83" spans="2:16" x14ac:dyDescent="0.25">
      <c r="B83" s="371">
        <f t="shared" si="7"/>
        <v>79</v>
      </c>
      <c r="C83" s="72">
        <v>5</v>
      </c>
      <c r="D83" s="74">
        <f t="shared" si="4"/>
        <v>29</v>
      </c>
      <c r="O83" s="371">
        <f t="shared" si="8"/>
        <v>79</v>
      </c>
      <c r="P83" s="74">
        <f t="shared" si="6"/>
        <v>149</v>
      </c>
    </row>
    <row r="84" spans="2:16" x14ac:dyDescent="0.25">
      <c r="B84" s="371">
        <f t="shared" si="7"/>
        <v>80</v>
      </c>
      <c r="C84" s="72">
        <v>5</v>
      </c>
      <c r="D84" s="74">
        <f t="shared" si="4"/>
        <v>30</v>
      </c>
      <c r="O84" s="371">
        <f t="shared" si="8"/>
        <v>80</v>
      </c>
      <c r="P84" s="74">
        <f t="shared" si="6"/>
        <v>150</v>
      </c>
    </row>
    <row r="85" spans="2:16" x14ac:dyDescent="0.25">
      <c r="B85" s="371">
        <f t="shared" si="7"/>
        <v>81</v>
      </c>
      <c r="C85" s="72">
        <v>5</v>
      </c>
      <c r="D85" s="74">
        <f t="shared" si="4"/>
        <v>31</v>
      </c>
      <c r="O85" s="371">
        <f t="shared" si="8"/>
        <v>81</v>
      </c>
      <c r="P85" s="74">
        <f t="shared" si="6"/>
        <v>151</v>
      </c>
    </row>
    <row r="86" spans="2:16" x14ac:dyDescent="0.25">
      <c r="B86" s="371">
        <f t="shared" si="7"/>
        <v>82</v>
      </c>
      <c r="C86" s="72">
        <v>5</v>
      </c>
      <c r="D86" s="74">
        <f t="shared" si="4"/>
        <v>32</v>
      </c>
      <c r="O86" s="371">
        <f t="shared" si="8"/>
        <v>82</v>
      </c>
      <c r="P86" s="74">
        <f t="shared" si="6"/>
        <v>152</v>
      </c>
    </row>
    <row r="87" spans="2:16" x14ac:dyDescent="0.25">
      <c r="B87" s="371">
        <f t="shared" si="7"/>
        <v>83</v>
      </c>
      <c r="C87" s="72">
        <v>5</v>
      </c>
      <c r="D87" s="74">
        <f>B87-50</f>
        <v>33</v>
      </c>
      <c r="O87" s="371">
        <f t="shared" si="8"/>
        <v>83</v>
      </c>
      <c r="P87" s="74">
        <f t="shared" si="6"/>
        <v>153</v>
      </c>
    </row>
    <row r="88" spans="2:16" x14ac:dyDescent="0.25">
      <c r="B88" s="371">
        <f t="shared" si="7"/>
        <v>84</v>
      </c>
      <c r="C88" s="72">
        <v>6</v>
      </c>
      <c r="D88" s="380">
        <v>35</v>
      </c>
      <c r="O88" s="371">
        <f t="shared" si="8"/>
        <v>84</v>
      </c>
      <c r="P88" s="74">
        <f t="shared" si="6"/>
        <v>154</v>
      </c>
    </row>
    <row r="89" spans="2:16" x14ac:dyDescent="0.25">
      <c r="B89" s="371">
        <f t="shared" si="7"/>
        <v>85</v>
      </c>
      <c r="C89" s="72">
        <v>6</v>
      </c>
      <c r="D89" s="380">
        <v>37</v>
      </c>
      <c r="O89" s="371">
        <f t="shared" si="8"/>
        <v>85</v>
      </c>
      <c r="P89" s="74">
        <f t="shared" si="6"/>
        <v>155</v>
      </c>
    </row>
    <row r="90" spans="2:16" x14ac:dyDescent="0.25">
      <c r="B90" s="371">
        <f t="shared" ref="B90:B104" si="9">B89+1</f>
        <v>86</v>
      </c>
      <c r="C90" s="72">
        <v>6</v>
      </c>
      <c r="D90" s="380">
        <v>39</v>
      </c>
      <c r="O90" s="371">
        <f t="shared" si="8"/>
        <v>86</v>
      </c>
      <c r="P90" s="74">
        <f t="shared" si="6"/>
        <v>156</v>
      </c>
    </row>
    <row r="91" spans="2:16" x14ac:dyDescent="0.25">
      <c r="B91" s="371">
        <f t="shared" si="9"/>
        <v>87</v>
      </c>
      <c r="C91" s="72">
        <v>7</v>
      </c>
      <c r="D91" s="380">
        <v>41</v>
      </c>
      <c r="O91" s="371">
        <f t="shared" si="8"/>
        <v>87</v>
      </c>
      <c r="P91" s="74">
        <f t="shared" si="6"/>
        <v>157</v>
      </c>
    </row>
    <row r="92" spans="2:16" x14ac:dyDescent="0.25">
      <c r="B92" s="371">
        <f t="shared" si="9"/>
        <v>88</v>
      </c>
      <c r="C92" s="72">
        <v>7</v>
      </c>
      <c r="D92" s="380">
        <v>43</v>
      </c>
      <c r="O92" s="371">
        <f t="shared" si="8"/>
        <v>88</v>
      </c>
      <c r="P92" s="74">
        <f t="shared" si="6"/>
        <v>158</v>
      </c>
    </row>
    <row r="93" spans="2:16" x14ac:dyDescent="0.25">
      <c r="B93" s="371">
        <f t="shared" si="9"/>
        <v>89</v>
      </c>
      <c r="C93" s="72">
        <v>7</v>
      </c>
      <c r="D93" s="380">
        <v>45</v>
      </c>
      <c r="O93" s="371">
        <f t="shared" si="8"/>
        <v>89</v>
      </c>
      <c r="P93" s="74">
        <f t="shared" si="6"/>
        <v>159</v>
      </c>
    </row>
    <row r="94" spans="2:16" x14ac:dyDescent="0.25">
      <c r="B94" s="371">
        <f t="shared" si="9"/>
        <v>90</v>
      </c>
      <c r="C94" s="72">
        <v>8</v>
      </c>
      <c r="D94" s="380">
        <v>47</v>
      </c>
      <c r="O94" s="371">
        <f t="shared" si="8"/>
        <v>90</v>
      </c>
      <c r="P94" s="74">
        <f t="shared" si="6"/>
        <v>160</v>
      </c>
    </row>
    <row r="95" spans="2:16" x14ac:dyDescent="0.25">
      <c r="B95" s="371">
        <f t="shared" si="9"/>
        <v>91</v>
      </c>
      <c r="C95" s="72">
        <v>8</v>
      </c>
      <c r="D95" s="380">
        <v>49</v>
      </c>
      <c r="O95" s="371">
        <f t="shared" si="8"/>
        <v>91</v>
      </c>
      <c r="P95" s="74">
        <f t="shared" si="6"/>
        <v>161</v>
      </c>
    </row>
    <row r="96" spans="2:16" x14ac:dyDescent="0.25">
      <c r="B96" s="371">
        <f t="shared" si="9"/>
        <v>92</v>
      </c>
      <c r="C96" s="72">
        <v>8</v>
      </c>
      <c r="D96" s="380">
        <v>51</v>
      </c>
      <c r="O96" s="371">
        <f t="shared" si="8"/>
        <v>92</v>
      </c>
      <c r="P96" s="74">
        <f t="shared" si="6"/>
        <v>162</v>
      </c>
    </row>
    <row r="97" spans="2:16" x14ac:dyDescent="0.25">
      <c r="B97" s="371">
        <f t="shared" si="9"/>
        <v>93</v>
      </c>
      <c r="C97" s="72">
        <v>9</v>
      </c>
      <c r="D97" s="380">
        <v>54</v>
      </c>
      <c r="O97" s="371">
        <f t="shared" si="8"/>
        <v>93</v>
      </c>
      <c r="P97" s="74">
        <f t="shared" si="6"/>
        <v>163</v>
      </c>
    </row>
    <row r="98" spans="2:16" x14ac:dyDescent="0.25">
      <c r="B98" s="371">
        <f t="shared" si="9"/>
        <v>94</v>
      </c>
      <c r="C98" s="72">
        <v>9</v>
      </c>
      <c r="D98" s="380">
        <v>57</v>
      </c>
      <c r="O98" s="371">
        <f t="shared" si="8"/>
        <v>94</v>
      </c>
      <c r="P98" s="74">
        <f t="shared" si="6"/>
        <v>164</v>
      </c>
    </row>
    <row r="99" spans="2:16" x14ac:dyDescent="0.25">
      <c r="B99" s="371">
        <f t="shared" si="9"/>
        <v>95</v>
      </c>
      <c r="C99" s="72">
        <v>10</v>
      </c>
      <c r="D99" s="380">
        <v>63</v>
      </c>
      <c r="O99" s="371">
        <f t="shared" si="8"/>
        <v>95</v>
      </c>
      <c r="P99" s="74">
        <f t="shared" si="6"/>
        <v>165</v>
      </c>
    </row>
    <row r="100" spans="2:16" x14ac:dyDescent="0.25">
      <c r="B100" s="371">
        <f t="shared" si="9"/>
        <v>96</v>
      </c>
      <c r="C100" s="72">
        <v>11</v>
      </c>
      <c r="D100" s="380">
        <v>69</v>
      </c>
      <c r="O100" s="371">
        <f t="shared" si="8"/>
        <v>96</v>
      </c>
      <c r="P100" s="74">
        <f>100+(O100-30)</f>
        <v>166</v>
      </c>
    </row>
    <row r="101" spans="2:16" x14ac:dyDescent="0.25">
      <c r="B101" s="371">
        <f t="shared" si="9"/>
        <v>97</v>
      </c>
      <c r="C101" s="72">
        <v>12</v>
      </c>
      <c r="D101" s="380">
        <v>75</v>
      </c>
      <c r="O101" s="371">
        <f t="shared" si="8"/>
        <v>97</v>
      </c>
      <c r="P101" s="74">
        <f>100+(O101-30)</f>
        <v>167</v>
      </c>
    </row>
    <row r="102" spans="2:16" x14ac:dyDescent="0.25">
      <c r="B102" s="371">
        <f t="shared" si="9"/>
        <v>98</v>
      </c>
      <c r="C102" s="72">
        <v>13</v>
      </c>
      <c r="D102" s="380">
        <v>81</v>
      </c>
      <c r="O102" s="371">
        <f t="shared" si="8"/>
        <v>98</v>
      </c>
      <c r="P102" s="74">
        <f>100+(O102-30)</f>
        <v>168</v>
      </c>
    </row>
    <row r="103" spans="2:16" x14ac:dyDescent="0.25">
      <c r="B103" s="371">
        <f t="shared" si="9"/>
        <v>99</v>
      </c>
      <c r="C103" s="72">
        <v>14</v>
      </c>
      <c r="D103" s="380">
        <v>87</v>
      </c>
      <c r="O103" s="371">
        <f t="shared" si="8"/>
        <v>99</v>
      </c>
      <c r="P103" s="74">
        <f>100+(O103-30)</f>
        <v>169</v>
      </c>
    </row>
    <row r="104" spans="2:16" ht="15.75" thickBot="1" x14ac:dyDescent="0.3">
      <c r="B104" s="389">
        <f t="shared" si="9"/>
        <v>100</v>
      </c>
      <c r="C104" s="75">
        <v>15</v>
      </c>
      <c r="D104" s="394">
        <v>93</v>
      </c>
      <c r="O104" s="389">
        <f t="shared" si="8"/>
        <v>100</v>
      </c>
      <c r="P104" s="77">
        <f>100+(O104-30)</f>
        <v>170</v>
      </c>
    </row>
  </sheetData>
  <sheetProtection sheet="1" objects="1" scenarios="1"/>
  <mergeCells count="19">
    <mergeCell ref="AA17:AA31"/>
    <mergeCell ref="AA32:AA40"/>
    <mergeCell ref="AA41:AA47"/>
    <mergeCell ref="AA48:AA55"/>
    <mergeCell ref="AD48:AF48"/>
    <mergeCell ref="AD49:AF49"/>
    <mergeCell ref="AD50:AF50"/>
    <mergeCell ref="AD51:AF51"/>
    <mergeCell ref="AD52:AF52"/>
    <mergeCell ref="AD53:AF53"/>
    <mergeCell ref="AD54:AF54"/>
    <mergeCell ref="AD55:AF55"/>
    <mergeCell ref="B2:D2"/>
    <mergeCell ref="R4:R17"/>
    <mergeCell ref="R2:Y2"/>
    <mergeCell ref="O2:P2"/>
    <mergeCell ref="F2:G2"/>
    <mergeCell ref="I2:J2"/>
    <mergeCell ref="L2:M2"/>
  </mergeCells>
  <pageMargins left="0.7" right="0.7" top="0.75" bottom="0.75" header="0.3" footer="0.3"/>
  <pageSetup scale="4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80"/>
  <sheetViews>
    <sheetView workbookViewId="0">
      <selection activeCell="F8" sqref="F8:Q8"/>
    </sheetView>
  </sheetViews>
  <sheetFormatPr defaultRowHeight="15" x14ac:dyDescent="0.25"/>
  <cols>
    <col min="2" max="2" width="13.85546875" customWidth="1"/>
    <col min="3" max="3" width="27.5703125" customWidth="1"/>
    <col min="5" max="5" width="10.85546875" customWidth="1"/>
    <col min="6" max="6" width="9.140625" style="221"/>
    <col min="17" max="17" width="9.7109375" customWidth="1"/>
  </cols>
  <sheetData>
    <row r="2" spans="2:33" ht="15.75" thickBot="1" x14ac:dyDescent="0.3"/>
    <row r="3" spans="2:33" ht="15.75" thickBot="1" x14ac:dyDescent="0.3">
      <c r="B3" s="905" t="s">
        <v>51</v>
      </c>
      <c r="C3" s="906"/>
      <c r="D3" s="231" t="s">
        <v>422</v>
      </c>
      <c r="E3" s="232" t="s">
        <v>423</v>
      </c>
      <c r="F3" s="228" t="s">
        <v>424</v>
      </c>
      <c r="G3" s="227"/>
      <c r="H3" s="229"/>
      <c r="I3" s="229"/>
      <c r="J3" s="229"/>
      <c r="K3" s="229"/>
      <c r="L3" s="229"/>
      <c r="M3" s="229"/>
      <c r="N3" s="229"/>
      <c r="O3" s="229"/>
      <c r="P3" s="229"/>
      <c r="Q3" s="230"/>
      <c r="S3" s="931" t="s">
        <v>425</v>
      </c>
      <c r="T3" s="932"/>
      <c r="U3" s="932"/>
      <c r="V3" s="932"/>
      <c r="W3" s="932"/>
      <c r="X3" s="932"/>
      <c r="Y3" s="932"/>
      <c r="Z3" s="932"/>
      <c r="AA3" s="932"/>
      <c r="AB3" s="932"/>
      <c r="AC3" s="932"/>
      <c r="AD3" s="932"/>
      <c r="AE3" s="932"/>
      <c r="AF3" s="932"/>
      <c r="AG3" s="933"/>
    </row>
    <row r="4" spans="2:33" x14ac:dyDescent="0.25">
      <c r="B4" s="939" t="s">
        <v>426</v>
      </c>
      <c r="C4" s="9" t="s">
        <v>609</v>
      </c>
      <c r="D4" s="8">
        <v>4</v>
      </c>
      <c r="E4" s="8">
        <v>4</v>
      </c>
      <c r="F4" s="946" t="s">
        <v>428</v>
      </c>
      <c r="G4" s="946"/>
      <c r="H4" s="946"/>
      <c r="I4" s="946"/>
      <c r="J4" s="946"/>
      <c r="K4" s="946"/>
      <c r="L4" s="946"/>
      <c r="M4" s="946"/>
      <c r="N4" s="946"/>
      <c r="O4" s="946"/>
      <c r="P4" s="946"/>
      <c r="Q4" s="947"/>
      <c r="S4" s="222" t="s">
        <v>222</v>
      </c>
      <c r="T4" s="13"/>
      <c r="U4" s="934" t="s">
        <v>427</v>
      </c>
      <c r="V4" s="934"/>
      <c r="W4" s="934"/>
      <c r="X4" s="934"/>
      <c r="Y4" s="934"/>
      <c r="Z4" s="934"/>
      <c r="AA4" s="934"/>
      <c r="AB4" s="934"/>
      <c r="AC4" s="934"/>
      <c r="AD4" s="934"/>
      <c r="AE4" s="934"/>
      <c r="AF4" s="934"/>
      <c r="AG4" s="935"/>
    </row>
    <row r="5" spans="2:33" x14ac:dyDescent="0.25">
      <c r="B5" s="940"/>
      <c r="C5" s="9" t="s">
        <v>610</v>
      </c>
      <c r="D5" s="8">
        <v>3</v>
      </c>
      <c r="E5" s="8">
        <v>4</v>
      </c>
      <c r="F5" s="923" t="s">
        <v>428</v>
      </c>
      <c r="G5" s="923"/>
      <c r="H5" s="923"/>
      <c r="I5" s="923"/>
      <c r="J5" s="923"/>
      <c r="K5" s="923"/>
      <c r="L5" s="923"/>
      <c r="M5" s="923"/>
      <c r="N5" s="923"/>
      <c r="O5" s="923"/>
      <c r="P5" s="923"/>
      <c r="Q5" s="924"/>
      <c r="S5" s="116" t="s">
        <v>225</v>
      </c>
      <c r="T5" s="9"/>
      <c r="U5" s="936" t="s">
        <v>429</v>
      </c>
      <c r="V5" s="937"/>
      <c r="W5" s="937"/>
      <c r="X5" s="937"/>
      <c r="Y5" s="937"/>
      <c r="Z5" s="937"/>
      <c r="AA5" s="937"/>
      <c r="AB5" s="937"/>
      <c r="AC5" s="937"/>
      <c r="AD5" s="937"/>
      <c r="AE5" s="937"/>
      <c r="AF5" s="937"/>
      <c r="AG5" s="938"/>
    </row>
    <row r="6" spans="2:33" x14ac:dyDescent="0.25">
      <c r="B6" s="940"/>
      <c r="C6" s="9" t="s">
        <v>611</v>
      </c>
      <c r="D6" s="8">
        <v>2</v>
      </c>
      <c r="E6" s="8">
        <v>4</v>
      </c>
      <c r="F6" s="923" t="s">
        <v>428</v>
      </c>
      <c r="G6" s="923"/>
      <c r="H6" s="923"/>
      <c r="I6" s="923"/>
      <c r="J6" s="923"/>
      <c r="K6" s="923"/>
      <c r="L6" s="923"/>
      <c r="M6" s="923"/>
      <c r="N6" s="923"/>
      <c r="O6" s="923"/>
      <c r="P6" s="923"/>
      <c r="Q6" s="924"/>
      <c r="S6" s="116" t="s">
        <v>228</v>
      </c>
      <c r="T6" s="9"/>
      <c r="U6" s="936" t="s">
        <v>430</v>
      </c>
      <c r="V6" s="937"/>
      <c r="W6" s="937"/>
      <c r="X6" s="937"/>
      <c r="Y6" s="937"/>
      <c r="Z6" s="937"/>
      <c r="AA6" s="937"/>
      <c r="AB6" s="937"/>
      <c r="AC6" s="937"/>
      <c r="AD6" s="937"/>
      <c r="AE6" s="937"/>
      <c r="AF6" s="937"/>
      <c r="AG6" s="938"/>
    </row>
    <row r="7" spans="2:33" x14ac:dyDescent="0.25">
      <c r="B7" s="940"/>
      <c r="C7" s="9" t="s">
        <v>612</v>
      </c>
      <c r="D7" s="8">
        <v>1</v>
      </c>
      <c r="E7" s="8">
        <v>4</v>
      </c>
      <c r="F7" s="923" t="s">
        <v>428</v>
      </c>
      <c r="G7" s="923"/>
      <c r="H7" s="923"/>
      <c r="I7" s="923"/>
      <c r="J7" s="923"/>
      <c r="K7" s="923"/>
      <c r="L7" s="923"/>
      <c r="M7" s="923"/>
      <c r="N7" s="923"/>
      <c r="O7" s="923"/>
      <c r="P7" s="923"/>
      <c r="Q7" s="924"/>
      <c r="S7" s="116" t="s">
        <v>231</v>
      </c>
      <c r="T7" s="9"/>
      <c r="U7" s="485" t="s">
        <v>357</v>
      </c>
      <c r="V7" s="937"/>
      <c r="W7" s="937"/>
      <c r="X7" s="937"/>
      <c r="Y7" s="937"/>
      <c r="Z7" s="937"/>
      <c r="AA7" s="937"/>
      <c r="AB7" s="937"/>
      <c r="AC7" s="937"/>
      <c r="AD7" s="937"/>
      <c r="AE7" s="937"/>
      <c r="AF7" s="937"/>
      <c r="AG7" s="938"/>
    </row>
    <row r="8" spans="2:33" x14ac:dyDescent="0.25">
      <c r="B8" s="940"/>
      <c r="C8" s="9" t="s">
        <v>616</v>
      </c>
      <c r="D8" s="8">
        <v>6</v>
      </c>
      <c r="E8" s="8">
        <v>4</v>
      </c>
      <c r="F8" s="923" t="s">
        <v>428</v>
      </c>
      <c r="G8" s="923"/>
      <c r="H8" s="923"/>
      <c r="I8" s="923"/>
      <c r="J8" s="923"/>
      <c r="K8" s="923"/>
      <c r="L8" s="923"/>
      <c r="M8" s="923"/>
      <c r="N8" s="923"/>
      <c r="O8" s="923"/>
      <c r="P8" s="923"/>
      <c r="Q8" s="924"/>
      <c r="S8" s="116" t="s">
        <v>233</v>
      </c>
      <c r="T8" s="9"/>
      <c r="U8" s="485" t="s">
        <v>357</v>
      </c>
      <c r="V8" s="937"/>
      <c r="W8" s="937"/>
      <c r="X8" s="937"/>
      <c r="Y8" s="937"/>
      <c r="Z8" s="937"/>
      <c r="AA8" s="937"/>
      <c r="AB8" s="937"/>
      <c r="AC8" s="937"/>
      <c r="AD8" s="937"/>
      <c r="AE8" s="937"/>
      <c r="AF8" s="937"/>
      <c r="AG8" s="938"/>
    </row>
    <row r="9" spans="2:33" x14ac:dyDescent="0.25">
      <c r="B9" s="940"/>
      <c r="C9" s="9" t="s">
        <v>432</v>
      </c>
      <c r="D9" s="8">
        <v>10</v>
      </c>
      <c r="E9" s="8">
        <v>1</v>
      </c>
      <c r="F9" s="911" t="s">
        <v>890</v>
      </c>
      <c r="G9" s="911"/>
      <c r="H9" s="911"/>
      <c r="I9" s="911"/>
      <c r="J9" s="911"/>
      <c r="K9" s="911"/>
      <c r="L9" s="911"/>
      <c r="M9" s="911"/>
      <c r="N9" s="911"/>
      <c r="O9" s="911"/>
      <c r="P9" s="911"/>
      <c r="Q9" s="912"/>
      <c r="S9" s="116" t="s">
        <v>234</v>
      </c>
      <c r="T9" s="9"/>
      <c r="U9" s="936" t="s">
        <v>431</v>
      </c>
      <c r="V9" s="937"/>
      <c r="W9" s="937"/>
      <c r="X9" s="937"/>
      <c r="Y9" s="937"/>
      <c r="Z9" s="937"/>
      <c r="AA9" s="937"/>
      <c r="AB9" s="937"/>
      <c r="AC9" s="937"/>
      <c r="AD9" s="937"/>
      <c r="AE9" s="937"/>
      <c r="AF9" s="937"/>
      <c r="AG9" s="938"/>
    </row>
    <row r="10" spans="2:33" ht="15.75" thickBot="1" x14ac:dyDescent="0.3">
      <c r="B10" s="940"/>
      <c r="C10" s="9" t="s">
        <v>19</v>
      </c>
      <c r="D10" s="8">
        <v>20</v>
      </c>
      <c r="E10" s="8">
        <v>1</v>
      </c>
      <c r="F10" s="919" t="s">
        <v>668</v>
      </c>
      <c r="G10" s="919"/>
      <c r="H10" s="919"/>
      <c r="I10" s="919"/>
      <c r="J10" s="919"/>
      <c r="K10" s="919"/>
      <c r="L10" s="919"/>
      <c r="M10" s="919"/>
      <c r="N10" s="919"/>
      <c r="O10" s="919"/>
      <c r="P10" s="919"/>
      <c r="Q10" s="920"/>
      <c r="S10" s="42" t="s">
        <v>235</v>
      </c>
      <c r="T10" s="17"/>
      <c r="U10" s="944" t="s">
        <v>433</v>
      </c>
      <c r="V10" s="944"/>
      <c r="W10" s="944"/>
      <c r="X10" s="944"/>
      <c r="Y10" s="944"/>
      <c r="Z10" s="944"/>
      <c r="AA10" s="944"/>
      <c r="AB10" s="944"/>
      <c r="AC10" s="944"/>
      <c r="AD10" s="944"/>
      <c r="AE10" s="944"/>
      <c r="AF10" s="944"/>
      <c r="AG10" s="945"/>
    </row>
    <row r="11" spans="2:33" x14ac:dyDescent="0.25">
      <c r="B11" s="940"/>
      <c r="C11" s="9" t="s">
        <v>434</v>
      </c>
      <c r="D11" s="8">
        <v>5</v>
      </c>
      <c r="E11" s="8">
        <v>1</v>
      </c>
      <c r="F11" s="919" t="s">
        <v>889</v>
      </c>
      <c r="G11" s="919"/>
      <c r="H11" s="919"/>
      <c r="I11" s="919"/>
      <c r="J11" s="919"/>
      <c r="K11" s="919"/>
      <c r="L11" s="919"/>
      <c r="M11" s="919"/>
      <c r="N11" s="919"/>
      <c r="O11" s="919"/>
      <c r="P11" s="919"/>
      <c r="Q11" s="920"/>
    </row>
    <row r="12" spans="2:33" x14ac:dyDescent="0.25">
      <c r="B12" s="940"/>
      <c r="C12" s="9" t="s">
        <v>435</v>
      </c>
      <c r="D12" s="8">
        <v>10</v>
      </c>
      <c r="E12" s="8">
        <v>1</v>
      </c>
      <c r="F12" s="919" t="s">
        <v>436</v>
      </c>
      <c r="G12" s="919"/>
      <c r="H12" s="919"/>
      <c r="I12" s="919"/>
      <c r="J12" s="919"/>
      <c r="K12" s="919"/>
      <c r="L12" s="919"/>
      <c r="M12" s="919"/>
      <c r="N12" s="919"/>
      <c r="O12" s="919"/>
      <c r="P12" s="919"/>
      <c r="Q12" s="920"/>
    </row>
    <row r="13" spans="2:33" x14ac:dyDescent="0.25">
      <c r="B13" s="940"/>
      <c r="C13" s="9" t="s">
        <v>437</v>
      </c>
      <c r="D13" s="8">
        <v>20</v>
      </c>
      <c r="E13" s="8">
        <v>1</v>
      </c>
      <c r="F13" s="911" t="s">
        <v>438</v>
      </c>
      <c r="G13" s="911"/>
      <c r="H13" s="911"/>
      <c r="I13" s="911"/>
      <c r="J13" s="911"/>
      <c r="K13" s="911"/>
      <c r="L13" s="911"/>
      <c r="M13" s="911"/>
      <c r="N13" s="911"/>
      <c r="O13" s="911"/>
      <c r="P13" s="911"/>
      <c r="Q13" s="912"/>
    </row>
    <row r="14" spans="2:33" x14ac:dyDescent="0.25">
      <c r="B14" s="940"/>
      <c r="C14" s="9" t="s">
        <v>439</v>
      </c>
      <c r="D14" s="8">
        <v>30</v>
      </c>
      <c r="E14" s="8">
        <v>1</v>
      </c>
      <c r="F14" s="901" t="s">
        <v>440</v>
      </c>
      <c r="G14" s="901"/>
      <c r="H14" s="901"/>
      <c r="I14" s="901"/>
      <c r="J14" s="901"/>
      <c r="K14" s="901"/>
      <c r="L14" s="901"/>
      <c r="M14" s="901"/>
      <c r="N14" s="901"/>
      <c r="O14" s="901"/>
      <c r="P14" s="901"/>
      <c r="Q14" s="902"/>
    </row>
    <row r="15" spans="2:33" x14ac:dyDescent="0.25">
      <c r="B15" s="940"/>
      <c r="C15" s="9" t="s">
        <v>441</v>
      </c>
      <c r="D15" s="8">
        <v>40</v>
      </c>
      <c r="E15" s="8">
        <v>1</v>
      </c>
      <c r="F15" s="911" t="s">
        <v>442</v>
      </c>
      <c r="G15" s="911"/>
      <c r="H15" s="911"/>
      <c r="I15" s="911"/>
      <c r="J15" s="911"/>
      <c r="K15" s="911"/>
      <c r="L15" s="911"/>
      <c r="M15" s="911"/>
      <c r="N15" s="911"/>
      <c r="O15" s="911"/>
      <c r="P15" s="911"/>
      <c r="Q15" s="912"/>
    </row>
    <row r="16" spans="2:33" x14ac:dyDescent="0.25">
      <c r="B16" s="940"/>
      <c r="C16" s="9" t="s">
        <v>443</v>
      </c>
      <c r="D16" s="8">
        <v>10</v>
      </c>
      <c r="E16" s="8">
        <v>2</v>
      </c>
      <c r="F16" s="919" t="s">
        <v>888</v>
      </c>
      <c r="G16" s="919"/>
      <c r="H16" s="919"/>
      <c r="I16" s="919"/>
      <c r="J16" s="919"/>
      <c r="K16" s="919"/>
      <c r="L16" s="919"/>
      <c r="M16" s="919"/>
      <c r="N16" s="919"/>
      <c r="O16" s="919"/>
      <c r="P16" s="919"/>
      <c r="Q16" s="920"/>
    </row>
    <row r="17" spans="2:19" x14ac:dyDescent="0.25">
      <c r="B17" s="940"/>
      <c r="C17" s="9" t="s">
        <v>444</v>
      </c>
      <c r="D17" s="8">
        <v>10</v>
      </c>
      <c r="E17" s="8">
        <v>2</v>
      </c>
      <c r="F17" s="919" t="s">
        <v>703</v>
      </c>
      <c r="G17" s="919"/>
      <c r="H17" s="919"/>
      <c r="I17" s="919"/>
      <c r="J17" s="919"/>
      <c r="K17" s="919"/>
      <c r="L17" s="919"/>
      <c r="M17" s="919"/>
      <c r="N17" s="919"/>
      <c r="O17" s="919"/>
      <c r="P17" s="919"/>
      <c r="Q17" s="920"/>
    </row>
    <row r="18" spans="2:19" x14ac:dyDescent="0.25">
      <c r="B18" s="940"/>
      <c r="C18" s="9" t="s">
        <v>445</v>
      </c>
      <c r="D18" s="8">
        <v>10</v>
      </c>
      <c r="E18" s="8">
        <v>2</v>
      </c>
      <c r="F18" s="919" t="s">
        <v>446</v>
      </c>
      <c r="G18" s="919"/>
      <c r="H18" s="919"/>
      <c r="I18" s="919"/>
      <c r="J18" s="919"/>
      <c r="K18" s="919"/>
      <c r="L18" s="919"/>
      <c r="M18" s="919"/>
      <c r="N18" s="919"/>
      <c r="O18" s="919"/>
      <c r="P18" s="919"/>
      <c r="Q18" s="920"/>
    </row>
    <row r="19" spans="2:19" x14ac:dyDescent="0.25">
      <c r="B19" s="940"/>
      <c r="C19" s="9" t="s">
        <v>447</v>
      </c>
      <c r="D19" s="8">
        <v>10</v>
      </c>
      <c r="E19" s="8">
        <v>1</v>
      </c>
      <c r="F19" s="919" t="s">
        <v>448</v>
      </c>
      <c r="G19" s="919"/>
      <c r="H19" s="919"/>
      <c r="I19" s="919"/>
      <c r="J19" s="919"/>
      <c r="K19" s="919"/>
      <c r="L19" s="919"/>
      <c r="M19" s="919"/>
      <c r="N19" s="919"/>
      <c r="O19" s="919"/>
      <c r="P19" s="919"/>
      <c r="Q19" s="920"/>
    </row>
    <row r="20" spans="2:19" x14ac:dyDescent="0.25">
      <c r="B20" s="940"/>
      <c r="C20" s="9" t="s">
        <v>449</v>
      </c>
      <c r="D20" s="8">
        <v>5</v>
      </c>
      <c r="E20" s="8">
        <v>5</v>
      </c>
      <c r="F20" s="919" t="s">
        <v>887</v>
      </c>
      <c r="G20" s="919"/>
      <c r="H20" s="919"/>
      <c r="I20" s="919"/>
      <c r="J20" s="919"/>
      <c r="K20" s="919"/>
      <c r="L20" s="919"/>
      <c r="M20" s="919"/>
      <c r="N20" s="919"/>
      <c r="O20" s="919"/>
      <c r="P20" s="919"/>
      <c r="Q20" s="920"/>
    </row>
    <row r="21" spans="2:19" x14ac:dyDescent="0.25">
      <c r="B21" s="940"/>
      <c r="C21" s="68" t="s">
        <v>450</v>
      </c>
      <c r="D21" s="224">
        <v>25</v>
      </c>
      <c r="E21" s="224">
        <v>2</v>
      </c>
      <c r="F21" s="927" t="s">
        <v>886</v>
      </c>
      <c r="G21" s="927"/>
      <c r="H21" s="927"/>
      <c r="I21" s="927"/>
      <c r="J21" s="927"/>
      <c r="K21" s="927"/>
      <c r="L21" s="927"/>
      <c r="M21" s="927"/>
      <c r="N21" s="927"/>
      <c r="O21" s="927"/>
      <c r="P21" s="927"/>
      <c r="Q21" s="928"/>
    </row>
    <row r="22" spans="2:19" x14ac:dyDescent="0.25">
      <c r="B22" s="940"/>
      <c r="C22" s="9" t="s">
        <v>451</v>
      </c>
      <c r="D22" s="8">
        <v>-10</v>
      </c>
      <c r="E22" s="8">
        <v>1</v>
      </c>
      <c r="F22" s="929" t="s">
        <v>702</v>
      </c>
      <c r="G22" s="929"/>
      <c r="H22" s="929"/>
      <c r="I22" s="929"/>
      <c r="J22" s="929"/>
      <c r="K22" s="929"/>
      <c r="L22" s="929"/>
      <c r="M22" s="929"/>
      <c r="N22" s="929"/>
      <c r="O22" s="929"/>
      <c r="P22" s="929"/>
      <c r="Q22" s="930"/>
    </row>
    <row r="23" spans="2:19" x14ac:dyDescent="0.25">
      <c r="B23" s="943"/>
      <c r="C23" s="9" t="s">
        <v>452</v>
      </c>
      <c r="D23" s="8">
        <v>-10</v>
      </c>
      <c r="E23" s="8">
        <v>2</v>
      </c>
      <c r="F23" s="911" t="s">
        <v>885</v>
      </c>
      <c r="G23" s="911"/>
      <c r="H23" s="911"/>
      <c r="I23" s="911"/>
      <c r="J23" s="911"/>
      <c r="K23" s="911"/>
      <c r="L23" s="911"/>
      <c r="M23" s="911"/>
      <c r="N23" s="911"/>
      <c r="O23" s="911"/>
      <c r="P23" s="911"/>
      <c r="Q23" s="912"/>
    </row>
    <row r="24" spans="2:19" x14ac:dyDescent="0.25">
      <c r="B24" s="943"/>
      <c r="C24" s="9" t="s">
        <v>453</v>
      </c>
      <c r="D24" s="8">
        <v>-25</v>
      </c>
      <c r="E24" s="8">
        <v>2</v>
      </c>
      <c r="F24" s="925" t="s">
        <v>884</v>
      </c>
      <c r="G24" s="925"/>
      <c r="H24" s="925"/>
      <c r="I24" s="925"/>
      <c r="J24" s="925"/>
      <c r="K24" s="925"/>
      <c r="L24" s="925"/>
      <c r="M24" s="925"/>
      <c r="N24" s="925"/>
      <c r="O24" s="925"/>
      <c r="P24" s="925"/>
      <c r="Q24" s="926"/>
      <c r="S24" s="283"/>
    </row>
    <row r="25" spans="2:19" x14ac:dyDescent="0.25">
      <c r="B25" s="943"/>
      <c r="C25" s="9" t="s">
        <v>454</v>
      </c>
      <c r="D25" s="8">
        <v>-5</v>
      </c>
      <c r="E25" s="8">
        <v>1</v>
      </c>
      <c r="F25" s="911" t="s">
        <v>455</v>
      </c>
      <c r="G25" s="911"/>
      <c r="H25" s="911"/>
      <c r="I25" s="911"/>
      <c r="J25" s="911"/>
      <c r="K25" s="911"/>
      <c r="L25" s="911"/>
      <c r="M25" s="911"/>
      <c r="N25" s="911"/>
      <c r="O25" s="911"/>
      <c r="P25" s="911"/>
      <c r="Q25" s="912"/>
      <c r="S25" s="282"/>
    </row>
    <row r="26" spans="2:19" x14ac:dyDescent="0.25">
      <c r="B26" s="943"/>
      <c r="C26" s="9" t="s">
        <v>456</v>
      </c>
      <c r="D26" s="8">
        <v>-10</v>
      </c>
      <c r="E26" s="8">
        <v>1</v>
      </c>
      <c r="F26" s="925" t="s">
        <v>457</v>
      </c>
      <c r="G26" s="925"/>
      <c r="H26" s="925"/>
      <c r="I26" s="925"/>
      <c r="J26" s="925"/>
      <c r="K26" s="925"/>
      <c r="L26" s="925"/>
      <c r="M26" s="925"/>
      <c r="N26" s="925"/>
      <c r="O26" s="925"/>
      <c r="P26" s="925"/>
      <c r="Q26" s="926"/>
      <c r="S26" s="282"/>
    </row>
    <row r="27" spans="2:19" x14ac:dyDescent="0.25">
      <c r="B27" s="943"/>
      <c r="C27" s="9" t="s">
        <v>458</v>
      </c>
      <c r="D27" s="8">
        <v>-15</v>
      </c>
      <c r="E27" s="8">
        <v>1</v>
      </c>
      <c r="F27" s="911" t="s">
        <v>883</v>
      </c>
      <c r="G27" s="911"/>
      <c r="H27" s="911"/>
      <c r="I27" s="911"/>
      <c r="J27" s="911"/>
      <c r="K27" s="911"/>
      <c r="L27" s="911"/>
      <c r="M27" s="911"/>
      <c r="N27" s="911"/>
      <c r="O27" s="911"/>
      <c r="P27" s="911"/>
      <c r="Q27" s="912"/>
      <c r="S27" s="282"/>
    </row>
    <row r="28" spans="2:19" x14ac:dyDescent="0.25">
      <c r="B28" s="943"/>
      <c r="C28" s="9" t="s">
        <v>459</v>
      </c>
      <c r="D28" s="8">
        <v>-20</v>
      </c>
      <c r="E28" s="8">
        <v>1</v>
      </c>
      <c r="F28" s="925" t="s">
        <v>460</v>
      </c>
      <c r="G28" s="925"/>
      <c r="H28" s="925"/>
      <c r="I28" s="925"/>
      <c r="J28" s="925"/>
      <c r="K28" s="925"/>
      <c r="L28" s="925"/>
      <c r="M28" s="925"/>
      <c r="N28" s="925"/>
      <c r="O28" s="925"/>
      <c r="P28" s="925"/>
      <c r="Q28" s="926"/>
      <c r="S28" s="282"/>
    </row>
    <row r="29" spans="2:19" x14ac:dyDescent="0.25">
      <c r="B29" s="943"/>
      <c r="C29" s="9" t="s">
        <v>461</v>
      </c>
      <c r="D29" s="8">
        <v>-25</v>
      </c>
      <c r="E29" s="8">
        <v>1</v>
      </c>
      <c r="F29" s="911" t="s">
        <v>462</v>
      </c>
      <c r="G29" s="911"/>
      <c r="H29" s="911"/>
      <c r="I29" s="911"/>
      <c r="J29" s="911"/>
      <c r="K29" s="911"/>
      <c r="L29" s="911"/>
      <c r="M29" s="911"/>
      <c r="N29" s="911"/>
      <c r="O29" s="911"/>
      <c r="P29" s="911"/>
      <c r="Q29" s="912"/>
      <c r="S29" s="282"/>
    </row>
    <row r="30" spans="2:19" x14ac:dyDescent="0.25">
      <c r="B30" s="943"/>
      <c r="C30" s="9" t="s">
        <v>463</v>
      </c>
      <c r="D30" s="8">
        <v>-4</v>
      </c>
      <c r="E30" s="8">
        <v>4</v>
      </c>
      <c r="F30" s="923" t="s">
        <v>428</v>
      </c>
      <c r="G30" s="923"/>
      <c r="H30" s="923"/>
      <c r="I30" s="923"/>
      <c r="J30" s="923"/>
      <c r="K30" s="923"/>
      <c r="L30" s="923"/>
      <c r="M30" s="923"/>
      <c r="N30" s="923"/>
      <c r="O30" s="923"/>
      <c r="P30" s="923"/>
      <c r="Q30" s="924"/>
      <c r="S30" s="282"/>
    </row>
    <row r="31" spans="2:19" x14ac:dyDescent="0.25">
      <c r="B31" s="943"/>
      <c r="C31" s="9" t="s">
        <v>464</v>
      </c>
      <c r="D31" s="8">
        <v>-3</v>
      </c>
      <c r="E31" s="8">
        <v>4</v>
      </c>
      <c r="F31" s="923" t="s">
        <v>428</v>
      </c>
      <c r="G31" s="923"/>
      <c r="H31" s="923"/>
      <c r="I31" s="923"/>
      <c r="J31" s="923"/>
      <c r="K31" s="923"/>
      <c r="L31" s="923"/>
      <c r="M31" s="923"/>
      <c r="N31" s="923"/>
      <c r="O31" s="923"/>
      <c r="P31" s="923"/>
      <c r="Q31" s="924"/>
      <c r="S31" s="282"/>
    </row>
    <row r="32" spans="2:19" x14ac:dyDescent="0.25">
      <c r="B32" s="943"/>
      <c r="C32" s="9" t="s">
        <v>465</v>
      </c>
      <c r="D32" s="8">
        <v>-2</v>
      </c>
      <c r="E32" s="8">
        <v>4</v>
      </c>
      <c r="F32" s="923" t="s">
        <v>428</v>
      </c>
      <c r="G32" s="923"/>
      <c r="H32" s="923"/>
      <c r="I32" s="923"/>
      <c r="J32" s="923"/>
      <c r="K32" s="923"/>
      <c r="L32" s="923"/>
      <c r="M32" s="923"/>
      <c r="N32" s="923"/>
      <c r="O32" s="923"/>
      <c r="P32" s="923"/>
      <c r="Q32" s="924"/>
      <c r="S32" s="282"/>
    </row>
    <row r="33" spans="2:19" x14ac:dyDescent="0.25">
      <c r="B33" s="943"/>
      <c r="C33" s="9" t="s">
        <v>466</v>
      </c>
      <c r="D33" s="8">
        <v>-1</v>
      </c>
      <c r="E33" s="8">
        <v>4</v>
      </c>
      <c r="F33" s="923" t="s">
        <v>428</v>
      </c>
      <c r="G33" s="923"/>
      <c r="H33" s="923"/>
      <c r="I33" s="923"/>
      <c r="J33" s="923"/>
      <c r="K33" s="923"/>
      <c r="L33" s="923"/>
      <c r="M33" s="923"/>
      <c r="N33" s="923"/>
      <c r="O33" s="923"/>
      <c r="P33" s="923"/>
      <c r="Q33" s="924"/>
      <c r="S33" s="282"/>
    </row>
    <row r="34" spans="2:19" x14ac:dyDescent="0.25">
      <c r="B34" s="943"/>
      <c r="C34" s="9" t="s">
        <v>613</v>
      </c>
      <c r="D34" s="8">
        <v>-6</v>
      </c>
      <c r="E34" s="8">
        <v>4</v>
      </c>
      <c r="F34" s="923" t="s">
        <v>428</v>
      </c>
      <c r="G34" s="923"/>
      <c r="H34" s="923"/>
      <c r="I34" s="923"/>
      <c r="J34" s="923"/>
      <c r="K34" s="923"/>
      <c r="L34" s="923"/>
      <c r="M34" s="923"/>
      <c r="N34" s="923"/>
      <c r="O34" s="923"/>
      <c r="P34" s="923"/>
      <c r="Q34" s="924"/>
      <c r="S34" s="282"/>
    </row>
    <row r="35" spans="2:19" x14ac:dyDescent="0.25">
      <c r="B35" s="943"/>
      <c r="C35" s="9" t="s">
        <v>467</v>
      </c>
      <c r="D35" s="8">
        <v>-10</v>
      </c>
      <c r="E35" s="8">
        <v>2</v>
      </c>
      <c r="F35" s="911" t="s">
        <v>891</v>
      </c>
      <c r="G35" s="911"/>
      <c r="H35" s="911"/>
      <c r="I35" s="911"/>
      <c r="J35" s="911"/>
      <c r="K35" s="911"/>
      <c r="L35" s="911"/>
      <c r="M35" s="911"/>
      <c r="N35" s="911"/>
      <c r="O35" s="911"/>
      <c r="P35" s="911"/>
      <c r="Q35" s="912"/>
    </row>
    <row r="36" spans="2:19" x14ac:dyDescent="0.25">
      <c r="B36" s="943"/>
      <c r="C36" s="9" t="s">
        <v>468</v>
      </c>
      <c r="D36" s="8">
        <v>-10</v>
      </c>
      <c r="E36" s="8">
        <v>2</v>
      </c>
      <c r="F36" s="919" t="s">
        <v>469</v>
      </c>
      <c r="G36" s="919"/>
      <c r="H36" s="919"/>
      <c r="I36" s="919"/>
      <c r="J36" s="919"/>
      <c r="K36" s="919"/>
      <c r="L36" s="919"/>
      <c r="M36" s="919"/>
      <c r="N36" s="919"/>
      <c r="O36" s="919"/>
      <c r="P36" s="919"/>
      <c r="Q36" s="920"/>
    </row>
    <row r="37" spans="2:19" ht="15.75" thickBot="1" x14ac:dyDescent="0.3">
      <c r="B37" s="943"/>
      <c r="C37" s="9" t="s">
        <v>470</v>
      </c>
      <c r="D37" s="8">
        <v>5</v>
      </c>
      <c r="E37" s="8">
        <v>5</v>
      </c>
      <c r="F37" s="921" t="s">
        <v>892</v>
      </c>
      <c r="G37" s="921"/>
      <c r="H37" s="921"/>
      <c r="I37" s="921"/>
      <c r="J37" s="921"/>
      <c r="K37" s="921"/>
      <c r="L37" s="921"/>
      <c r="M37" s="921"/>
      <c r="N37" s="921"/>
      <c r="O37" s="921"/>
      <c r="P37" s="921"/>
      <c r="Q37" s="922"/>
    </row>
    <row r="38" spans="2:19" x14ac:dyDescent="0.25">
      <c r="B38" s="939" t="s">
        <v>53</v>
      </c>
      <c r="C38" s="13" t="s">
        <v>471</v>
      </c>
      <c r="D38" s="157">
        <v>10</v>
      </c>
      <c r="E38" s="157">
        <v>1</v>
      </c>
      <c r="F38" s="909" t="s">
        <v>893</v>
      </c>
      <c r="G38" s="909"/>
      <c r="H38" s="909"/>
      <c r="I38" s="909"/>
      <c r="J38" s="909"/>
      <c r="K38" s="909"/>
      <c r="L38" s="909"/>
      <c r="M38" s="909"/>
      <c r="N38" s="909"/>
      <c r="O38" s="909"/>
      <c r="P38" s="909"/>
      <c r="Q38" s="910"/>
    </row>
    <row r="39" spans="2:19" x14ac:dyDescent="0.25">
      <c r="B39" s="940"/>
      <c r="C39" s="9" t="s">
        <v>472</v>
      </c>
      <c r="D39" s="8">
        <v>20</v>
      </c>
      <c r="E39" s="8">
        <v>1</v>
      </c>
      <c r="F39" s="911" t="s">
        <v>894</v>
      </c>
      <c r="G39" s="911"/>
      <c r="H39" s="911"/>
      <c r="I39" s="911"/>
      <c r="J39" s="911"/>
      <c r="K39" s="911"/>
      <c r="L39" s="911"/>
      <c r="M39" s="911"/>
      <c r="N39" s="911"/>
      <c r="O39" s="911"/>
      <c r="P39" s="911"/>
      <c r="Q39" s="912"/>
    </row>
    <row r="40" spans="2:19" x14ac:dyDescent="0.25">
      <c r="B40" s="940"/>
      <c r="C40" s="9" t="s">
        <v>473</v>
      </c>
      <c r="D40" s="8">
        <v>30</v>
      </c>
      <c r="E40" s="8">
        <v>1</v>
      </c>
      <c r="F40" s="911" t="s">
        <v>895</v>
      </c>
      <c r="G40" s="911"/>
      <c r="H40" s="911"/>
      <c r="I40" s="911"/>
      <c r="J40" s="911"/>
      <c r="K40" s="911"/>
      <c r="L40" s="911"/>
      <c r="M40" s="911"/>
      <c r="N40" s="911"/>
      <c r="O40" s="911"/>
      <c r="P40" s="911"/>
      <c r="Q40" s="912"/>
    </row>
    <row r="41" spans="2:19" x14ac:dyDescent="0.25">
      <c r="B41" s="940"/>
      <c r="C41" s="9" t="s">
        <v>474</v>
      </c>
      <c r="D41" s="8">
        <v>10</v>
      </c>
      <c r="E41" s="8">
        <v>1</v>
      </c>
      <c r="F41" s="911" t="s">
        <v>705</v>
      </c>
      <c r="G41" s="911"/>
      <c r="H41" s="911"/>
      <c r="I41" s="911"/>
      <c r="J41" s="911"/>
      <c r="K41" s="911"/>
      <c r="L41" s="911"/>
      <c r="M41" s="911"/>
      <c r="N41" s="911"/>
      <c r="O41" s="911"/>
      <c r="P41" s="911"/>
      <c r="Q41" s="912"/>
    </row>
    <row r="42" spans="2:19" x14ac:dyDescent="0.25">
      <c r="B42" s="940"/>
      <c r="C42" s="9" t="s">
        <v>475</v>
      </c>
      <c r="D42" s="8">
        <v>25</v>
      </c>
      <c r="E42" s="8">
        <v>1</v>
      </c>
      <c r="F42" s="911" t="s">
        <v>704</v>
      </c>
      <c r="G42" s="911"/>
      <c r="H42" s="911"/>
      <c r="I42" s="911"/>
      <c r="J42" s="911"/>
      <c r="K42" s="911"/>
      <c r="L42" s="911"/>
      <c r="M42" s="911"/>
      <c r="N42" s="911"/>
      <c r="O42" s="911"/>
      <c r="P42" s="911"/>
      <c r="Q42" s="912"/>
    </row>
    <row r="43" spans="2:19" x14ac:dyDescent="0.25">
      <c r="B43" s="940"/>
      <c r="C43" s="9" t="s">
        <v>476</v>
      </c>
      <c r="D43" s="8">
        <v>10</v>
      </c>
      <c r="E43" s="8">
        <v>5</v>
      </c>
      <c r="F43" s="911" t="s">
        <v>477</v>
      </c>
      <c r="G43" s="911"/>
      <c r="H43" s="911"/>
      <c r="I43" s="911"/>
      <c r="J43" s="911"/>
      <c r="K43" s="911"/>
      <c r="L43" s="911"/>
      <c r="M43" s="911"/>
      <c r="N43" s="911"/>
      <c r="O43" s="911"/>
      <c r="P43" s="911"/>
      <c r="Q43" s="912"/>
    </row>
    <row r="44" spans="2:19" x14ac:dyDescent="0.25">
      <c r="B44" s="940"/>
      <c r="C44" s="9" t="s">
        <v>478</v>
      </c>
      <c r="D44" s="8">
        <v>10</v>
      </c>
      <c r="E44" s="8">
        <v>5</v>
      </c>
      <c r="F44" s="911" t="s">
        <v>479</v>
      </c>
      <c r="G44" s="911"/>
      <c r="H44" s="911"/>
      <c r="I44" s="911"/>
      <c r="J44" s="911"/>
      <c r="K44" s="911"/>
      <c r="L44" s="911"/>
      <c r="M44" s="911"/>
      <c r="N44" s="911"/>
      <c r="O44" s="911"/>
      <c r="P44" s="911"/>
      <c r="Q44" s="912"/>
    </row>
    <row r="45" spans="2:19" x14ac:dyDescent="0.25">
      <c r="B45" s="940"/>
      <c r="C45" s="9" t="s">
        <v>480</v>
      </c>
      <c r="D45" s="8">
        <v>10</v>
      </c>
      <c r="E45" s="8">
        <v>3</v>
      </c>
      <c r="F45" s="911" t="s">
        <v>706</v>
      </c>
      <c r="G45" s="911"/>
      <c r="H45" s="911"/>
      <c r="I45" s="911"/>
      <c r="J45" s="911"/>
      <c r="K45" s="911"/>
      <c r="L45" s="911"/>
      <c r="M45" s="911"/>
      <c r="N45" s="911"/>
      <c r="O45" s="911"/>
      <c r="P45" s="911"/>
      <c r="Q45" s="912"/>
    </row>
    <row r="46" spans="2:19" x14ac:dyDescent="0.25">
      <c r="B46" s="940"/>
      <c r="C46" s="9" t="s">
        <v>481</v>
      </c>
      <c r="D46" s="8">
        <v>10</v>
      </c>
      <c r="E46" s="8">
        <v>1</v>
      </c>
      <c r="F46" s="911" t="s">
        <v>618</v>
      </c>
      <c r="G46" s="911"/>
      <c r="H46" s="911"/>
      <c r="I46" s="911"/>
      <c r="J46" s="911"/>
      <c r="K46" s="911"/>
      <c r="L46" s="911"/>
      <c r="M46" s="911"/>
      <c r="N46" s="911"/>
      <c r="O46" s="911"/>
      <c r="P46" s="911"/>
      <c r="Q46" s="912"/>
    </row>
    <row r="47" spans="2:19" x14ac:dyDescent="0.25">
      <c r="B47" s="940"/>
      <c r="C47" s="9" t="s">
        <v>482</v>
      </c>
      <c r="D47" s="8">
        <v>20</v>
      </c>
      <c r="E47" s="8">
        <v>1</v>
      </c>
      <c r="F47" s="911" t="s">
        <v>619</v>
      </c>
      <c r="G47" s="911"/>
      <c r="H47" s="911"/>
      <c r="I47" s="911"/>
      <c r="J47" s="911"/>
      <c r="K47" s="911"/>
      <c r="L47" s="911"/>
      <c r="M47" s="911"/>
      <c r="N47" s="911"/>
      <c r="O47" s="911"/>
      <c r="P47" s="911"/>
      <c r="Q47" s="912"/>
    </row>
    <row r="48" spans="2:19" x14ac:dyDescent="0.25">
      <c r="B48" s="940"/>
      <c r="C48" s="9" t="s">
        <v>483</v>
      </c>
      <c r="D48" s="8">
        <v>30</v>
      </c>
      <c r="E48" s="8">
        <v>1</v>
      </c>
      <c r="F48" s="911" t="s">
        <v>707</v>
      </c>
      <c r="G48" s="911"/>
      <c r="H48" s="911"/>
      <c r="I48" s="911"/>
      <c r="J48" s="911"/>
      <c r="K48" s="911"/>
      <c r="L48" s="911"/>
      <c r="M48" s="911"/>
      <c r="N48" s="911"/>
      <c r="O48" s="911"/>
      <c r="P48" s="911"/>
      <c r="Q48" s="912"/>
    </row>
    <row r="49" spans="2:17" x14ac:dyDescent="0.25">
      <c r="B49" s="940"/>
      <c r="C49" s="9" t="s">
        <v>484</v>
      </c>
      <c r="D49" s="8">
        <v>5</v>
      </c>
      <c r="E49" s="8">
        <v>4</v>
      </c>
      <c r="F49" s="911" t="s">
        <v>896</v>
      </c>
      <c r="G49" s="911"/>
      <c r="H49" s="911"/>
      <c r="I49" s="911"/>
      <c r="J49" s="911"/>
      <c r="K49" s="911"/>
      <c r="L49" s="911"/>
      <c r="M49" s="911"/>
      <c r="N49" s="911"/>
      <c r="O49" s="911"/>
      <c r="P49" s="911"/>
      <c r="Q49" s="912"/>
    </row>
    <row r="50" spans="2:17" x14ac:dyDescent="0.25">
      <c r="B50" s="940"/>
      <c r="C50" s="9" t="s">
        <v>485</v>
      </c>
      <c r="D50" s="8">
        <v>15</v>
      </c>
      <c r="E50" s="8">
        <v>1</v>
      </c>
      <c r="F50" s="911" t="s">
        <v>708</v>
      </c>
      <c r="G50" s="911"/>
      <c r="H50" s="911"/>
      <c r="I50" s="911"/>
      <c r="J50" s="911"/>
      <c r="K50" s="911"/>
      <c r="L50" s="911"/>
      <c r="M50" s="911"/>
      <c r="N50" s="911"/>
      <c r="O50" s="911"/>
      <c r="P50" s="911"/>
      <c r="Q50" s="912"/>
    </row>
    <row r="51" spans="2:17" x14ac:dyDescent="0.25">
      <c r="B51" s="940"/>
      <c r="C51" s="9" t="s">
        <v>486</v>
      </c>
      <c r="D51" s="8">
        <v>30</v>
      </c>
      <c r="E51" s="8">
        <v>1</v>
      </c>
      <c r="F51" s="911" t="s">
        <v>709</v>
      </c>
      <c r="G51" s="911"/>
      <c r="H51" s="911"/>
      <c r="I51" s="911"/>
      <c r="J51" s="911"/>
      <c r="K51" s="911"/>
      <c r="L51" s="911"/>
      <c r="M51" s="911"/>
      <c r="N51" s="911"/>
      <c r="O51" s="911"/>
      <c r="P51" s="911"/>
      <c r="Q51" s="912"/>
    </row>
    <row r="52" spans="2:17" x14ac:dyDescent="0.25">
      <c r="B52" s="940"/>
      <c r="C52" s="9" t="s">
        <v>487</v>
      </c>
      <c r="D52" s="8">
        <v>5</v>
      </c>
      <c r="E52" s="8">
        <v>4</v>
      </c>
      <c r="F52" s="911" t="s">
        <v>488</v>
      </c>
      <c r="G52" s="911"/>
      <c r="H52" s="911"/>
      <c r="I52" s="911"/>
      <c r="J52" s="911"/>
      <c r="K52" s="911"/>
      <c r="L52" s="911"/>
      <c r="M52" s="911"/>
      <c r="N52" s="911"/>
      <c r="O52" s="911"/>
      <c r="P52" s="911"/>
      <c r="Q52" s="912"/>
    </row>
    <row r="53" spans="2:17" x14ac:dyDescent="0.25">
      <c r="B53" s="940"/>
      <c r="C53" s="9" t="s">
        <v>489</v>
      </c>
      <c r="D53" s="8">
        <v>10</v>
      </c>
      <c r="E53" s="8">
        <v>2</v>
      </c>
      <c r="F53" s="911" t="s">
        <v>490</v>
      </c>
      <c r="G53" s="911"/>
      <c r="H53" s="911"/>
      <c r="I53" s="911"/>
      <c r="J53" s="911"/>
      <c r="K53" s="911"/>
      <c r="L53" s="911"/>
      <c r="M53" s="911"/>
      <c r="N53" s="911"/>
      <c r="O53" s="911"/>
      <c r="P53" s="911"/>
      <c r="Q53" s="912"/>
    </row>
    <row r="54" spans="2:17" x14ac:dyDescent="0.25">
      <c r="B54" s="940"/>
      <c r="C54" s="68" t="s">
        <v>491</v>
      </c>
      <c r="D54" s="224">
        <v>7</v>
      </c>
      <c r="E54" s="224">
        <v>3</v>
      </c>
      <c r="F54" s="913" t="s">
        <v>897</v>
      </c>
      <c r="G54" s="913"/>
      <c r="H54" s="913"/>
      <c r="I54" s="913"/>
      <c r="J54" s="913"/>
      <c r="K54" s="913"/>
      <c r="L54" s="913"/>
      <c r="M54" s="913"/>
      <c r="N54" s="913"/>
      <c r="O54" s="913"/>
      <c r="P54" s="913"/>
      <c r="Q54" s="914"/>
    </row>
    <row r="55" spans="2:17" x14ac:dyDescent="0.25">
      <c r="B55" s="940"/>
      <c r="C55" s="9" t="s">
        <v>492</v>
      </c>
      <c r="D55" s="8">
        <v>-10</v>
      </c>
      <c r="E55" s="8">
        <v>4</v>
      </c>
      <c r="F55" s="915" t="s">
        <v>493</v>
      </c>
      <c r="G55" s="915"/>
      <c r="H55" s="915"/>
      <c r="I55" s="915"/>
      <c r="J55" s="915"/>
      <c r="K55" s="915"/>
      <c r="L55" s="915"/>
      <c r="M55" s="915"/>
      <c r="N55" s="915"/>
      <c r="O55" s="915"/>
      <c r="P55" s="915"/>
      <c r="Q55" s="916"/>
    </row>
    <row r="56" spans="2:17" x14ac:dyDescent="0.25">
      <c r="B56" s="940"/>
      <c r="C56" s="9" t="s">
        <v>494</v>
      </c>
      <c r="D56" s="8">
        <v>-10</v>
      </c>
      <c r="E56" s="8">
        <v>4</v>
      </c>
      <c r="F56" s="911" t="s">
        <v>710</v>
      </c>
      <c r="G56" s="911"/>
      <c r="H56" s="911"/>
      <c r="I56" s="911"/>
      <c r="J56" s="911"/>
      <c r="K56" s="911"/>
      <c r="L56" s="911"/>
      <c r="M56" s="911"/>
      <c r="N56" s="911"/>
      <c r="O56" s="911"/>
      <c r="P56" s="911"/>
      <c r="Q56" s="912"/>
    </row>
    <row r="57" spans="2:17" x14ac:dyDescent="0.25">
      <c r="B57" s="940"/>
      <c r="C57" s="9" t="s">
        <v>495</v>
      </c>
      <c r="D57" s="8">
        <v>-10</v>
      </c>
      <c r="E57" s="8">
        <v>1</v>
      </c>
      <c r="F57" s="911" t="s">
        <v>496</v>
      </c>
      <c r="G57" s="911"/>
      <c r="H57" s="911"/>
      <c r="I57" s="911"/>
      <c r="J57" s="911"/>
      <c r="K57" s="911"/>
      <c r="L57" s="911"/>
      <c r="M57" s="911"/>
      <c r="N57" s="911"/>
      <c r="O57" s="911"/>
      <c r="P57" s="911"/>
      <c r="Q57" s="912"/>
    </row>
    <row r="58" spans="2:17" x14ac:dyDescent="0.25">
      <c r="B58" s="940"/>
      <c r="C58" s="9" t="s">
        <v>497</v>
      </c>
      <c r="D58" s="8">
        <v>-20</v>
      </c>
      <c r="E58" s="8">
        <v>2</v>
      </c>
      <c r="F58" s="911" t="s">
        <v>498</v>
      </c>
      <c r="G58" s="911"/>
      <c r="H58" s="911"/>
      <c r="I58" s="911"/>
      <c r="J58" s="911"/>
      <c r="K58" s="911"/>
      <c r="L58" s="911"/>
      <c r="M58" s="911"/>
      <c r="N58" s="911"/>
      <c r="O58" s="911"/>
      <c r="P58" s="911"/>
      <c r="Q58" s="912"/>
    </row>
    <row r="59" spans="2:17" x14ac:dyDescent="0.25">
      <c r="B59" s="940"/>
      <c r="C59" s="9" t="s">
        <v>499</v>
      </c>
      <c r="D59" s="8">
        <v>-10</v>
      </c>
      <c r="E59" s="8">
        <v>1</v>
      </c>
      <c r="F59" s="911" t="s">
        <v>898</v>
      </c>
      <c r="G59" s="911"/>
      <c r="H59" s="911"/>
      <c r="I59" s="911"/>
      <c r="J59" s="911"/>
      <c r="K59" s="911"/>
      <c r="L59" s="911"/>
      <c r="M59" s="911"/>
      <c r="N59" s="911"/>
      <c r="O59" s="911"/>
      <c r="P59" s="911"/>
      <c r="Q59" s="912"/>
    </row>
    <row r="60" spans="2:17" x14ac:dyDescent="0.25">
      <c r="B60" s="940"/>
      <c r="C60" s="9" t="s">
        <v>500</v>
      </c>
      <c r="D60" s="8">
        <v>-25</v>
      </c>
      <c r="E60" s="8">
        <v>1</v>
      </c>
      <c r="F60" s="911" t="s">
        <v>899</v>
      </c>
      <c r="G60" s="911"/>
      <c r="H60" s="911"/>
      <c r="I60" s="911"/>
      <c r="J60" s="911"/>
      <c r="K60" s="911"/>
      <c r="L60" s="911"/>
      <c r="M60" s="911"/>
      <c r="N60" s="911"/>
      <c r="O60" s="911"/>
      <c r="P60" s="911"/>
      <c r="Q60" s="912"/>
    </row>
    <row r="61" spans="2:17" x14ac:dyDescent="0.25">
      <c r="B61" s="940"/>
      <c r="C61" s="9" t="s">
        <v>501</v>
      </c>
      <c r="D61" s="8">
        <v>-5</v>
      </c>
      <c r="E61" s="8">
        <v>4</v>
      </c>
      <c r="F61" s="911" t="s">
        <v>502</v>
      </c>
      <c r="G61" s="911"/>
      <c r="H61" s="911"/>
      <c r="I61" s="911"/>
      <c r="J61" s="911"/>
      <c r="K61" s="911"/>
      <c r="L61" s="911"/>
      <c r="M61" s="911"/>
      <c r="N61" s="911"/>
      <c r="O61" s="911"/>
      <c r="P61" s="911"/>
      <c r="Q61" s="912"/>
    </row>
    <row r="62" spans="2:17" ht="15.75" thickBot="1" x14ac:dyDescent="0.3">
      <c r="B62" s="940"/>
      <c r="C62" s="17" t="s">
        <v>503</v>
      </c>
      <c r="D62" s="18">
        <v>-10</v>
      </c>
      <c r="E62" s="18">
        <v>3</v>
      </c>
      <c r="F62" s="917" t="s">
        <v>711</v>
      </c>
      <c r="G62" s="917"/>
      <c r="H62" s="917"/>
      <c r="I62" s="917"/>
      <c r="J62" s="917"/>
      <c r="K62" s="917"/>
      <c r="L62" s="917"/>
      <c r="M62" s="917"/>
      <c r="N62" s="917"/>
      <c r="O62" s="917"/>
      <c r="P62" s="917"/>
      <c r="Q62" s="918"/>
    </row>
    <row r="63" spans="2:17" x14ac:dyDescent="0.25">
      <c r="B63" s="939" t="s">
        <v>113</v>
      </c>
      <c r="C63" s="13" t="s">
        <v>504</v>
      </c>
      <c r="D63" s="157">
        <v>3</v>
      </c>
      <c r="E63" s="157">
        <v>5</v>
      </c>
      <c r="F63" s="909" t="s">
        <v>900</v>
      </c>
      <c r="G63" s="909"/>
      <c r="H63" s="909"/>
      <c r="I63" s="909"/>
      <c r="J63" s="909"/>
      <c r="K63" s="909"/>
      <c r="L63" s="909"/>
      <c r="M63" s="909"/>
      <c r="N63" s="909"/>
      <c r="O63" s="909"/>
      <c r="P63" s="909"/>
      <c r="Q63" s="910"/>
    </row>
    <row r="64" spans="2:17" x14ac:dyDescent="0.25">
      <c r="B64" s="940"/>
      <c r="C64" s="9" t="s">
        <v>505</v>
      </c>
      <c r="D64" s="8">
        <v>5</v>
      </c>
      <c r="E64" s="8">
        <v>10</v>
      </c>
      <c r="F64" s="911" t="s">
        <v>901</v>
      </c>
      <c r="G64" s="911"/>
      <c r="H64" s="911"/>
      <c r="I64" s="911"/>
      <c r="J64" s="911"/>
      <c r="K64" s="911"/>
      <c r="L64" s="911"/>
      <c r="M64" s="911"/>
      <c r="N64" s="911"/>
      <c r="O64" s="911"/>
      <c r="P64" s="911"/>
      <c r="Q64" s="912"/>
    </row>
    <row r="65" spans="2:17" x14ac:dyDescent="0.25">
      <c r="B65" s="940"/>
      <c r="C65" s="9" t="s">
        <v>506</v>
      </c>
      <c r="D65" s="8">
        <v>30</v>
      </c>
      <c r="E65" s="8">
        <v>1</v>
      </c>
      <c r="F65" s="911" t="s">
        <v>712</v>
      </c>
      <c r="G65" s="911"/>
      <c r="H65" s="911"/>
      <c r="I65" s="911"/>
      <c r="J65" s="911"/>
      <c r="K65" s="911"/>
      <c r="L65" s="911"/>
      <c r="M65" s="911"/>
      <c r="N65" s="911"/>
      <c r="O65" s="911"/>
      <c r="P65" s="911"/>
      <c r="Q65" s="912"/>
    </row>
    <row r="66" spans="2:17" x14ac:dyDescent="0.25">
      <c r="B66" s="940"/>
      <c r="C66" s="9" t="s">
        <v>507</v>
      </c>
      <c r="D66" s="8">
        <v>20</v>
      </c>
      <c r="E66" s="8">
        <v>1</v>
      </c>
      <c r="F66" s="911" t="s">
        <v>736</v>
      </c>
      <c r="G66" s="911"/>
      <c r="H66" s="911"/>
      <c r="I66" s="911"/>
      <c r="J66" s="911"/>
      <c r="K66" s="911"/>
      <c r="L66" s="911"/>
      <c r="M66" s="911"/>
      <c r="N66" s="911"/>
      <c r="O66" s="911"/>
      <c r="P66" s="911"/>
      <c r="Q66" s="912"/>
    </row>
    <row r="67" spans="2:17" x14ac:dyDescent="0.25">
      <c r="B67" s="940"/>
      <c r="C67" s="9" t="s">
        <v>508</v>
      </c>
      <c r="D67" s="8">
        <v>10</v>
      </c>
      <c r="E67" s="8">
        <v>1</v>
      </c>
      <c r="F67" s="911" t="s">
        <v>713</v>
      </c>
      <c r="G67" s="911"/>
      <c r="H67" s="911"/>
      <c r="I67" s="911"/>
      <c r="J67" s="911"/>
      <c r="K67" s="911"/>
      <c r="L67" s="911"/>
      <c r="M67" s="911"/>
      <c r="N67" s="911"/>
      <c r="O67" s="911"/>
      <c r="P67" s="911"/>
      <c r="Q67" s="912"/>
    </row>
    <row r="68" spans="2:17" x14ac:dyDescent="0.25">
      <c r="B68" s="940"/>
      <c r="C68" s="9" t="s">
        <v>509</v>
      </c>
      <c r="D68" s="8">
        <v>10</v>
      </c>
      <c r="E68" s="8">
        <v>1</v>
      </c>
      <c r="F68" s="913" t="s">
        <v>510</v>
      </c>
      <c r="G68" s="913"/>
      <c r="H68" s="913"/>
      <c r="I68" s="913"/>
      <c r="J68" s="913"/>
      <c r="K68" s="913"/>
      <c r="L68" s="913"/>
      <c r="M68" s="913"/>
      <c r="N68" s="913"/>
      <c r="O68" s="913"/>
      <c r="P68" s="913"/>
      <c r="Q68" s="914"/>
    </row>
    <row r="69" spans="2:17" x14ac:dyDescent="0.25">
      <c r="B69" s="940"/>
      <c r="C69" s="223" t="s">
        <v>511</v>
      </c>
      <c r="D69" s="225">
        <v>-5</v>
      </c>
      <c r="E69" s="225">
        <v>1</v>
      </c>
      <c r="F69" s="915" t="s">
        <v>512</v>
      </c>
      <c r="G69" s="915"/>
      <c r="H69" s="915"/>
      <c r="I69" s="915"/>
      <c r="J69" s="915"/>
      <c r="K69" s="915"/>
      <c r="L69" s="915"/>
      <c r="M69" s="915"/>
      <c r="N69" s="915"/>
      <c r="O69" s="915"/>
      <c r="P69" s="915"/>
      <c r="Q69" s="916"/>
    </row>
    <row r="70" spans="2:17" ht="15.75" thickBot="1" x14ac:dyDescent="0.3">
      <c r="B70" s="941"/>
      <c r="C70" s="17" t="s">
        <v>513</v>
      </c>
      <c r="D70" s="18">
        <v>-10</v>
      </c>
      <c r="E70" s="18">
        <v>1</v>
      </c>
      <c r="F70" s="917" t="s">
        <v>714</v>
      </c>
      <c r="G70" s="917"/>
      <c r="H70" s="917"/>
      <c r="I70" s="917"/>
      <c r="J70" s="917"/>
      <c r="K70" s="917"/>
      <c r="L70" s="917"/>
      <c r="M70" s="917"/>
      <c r="N70" s="917"/>
      <c r="O70" s="917"/>
      <c r="P70" s="917"/>
      <c r="Q70" s="918"/>
    </row>
    <row r="71" spans="2:17" x14ac:dyDescent="0.25">
      <c r="B71" s="942" t="s">
        <v>64</v>
      </c>
      <c r="C71" s="9" t="s">
        <v>514</v>
      </c>
      <c r="D71" s="8">
        <v>10</v>
      </c>
      <c r="E71" s="8">
        <v>4</v>
      </c>
      <c r="F71" s="909" t="s">
        <v>515</v>
      </c>
      <c r="G71" s="909"/>
      <c r="H71" s="909"/>
      <c r="I71" s="909"/>
      <c r="J71" s="909"/>
      <c r="K71" s="909"/>
      <c r="L71" s="909"/>
      <c r="M71" s="909"/>
      <c r="N71" s="909"/>
      <c r="O71" s="909"/>
      <c r="P71" s="909"/>
      <c r="Q71" s="910"/>
    </row>
    <row r="72" spans="2:17" x14ac:dyDescent="0.25">
      <c r="B72" s="940"/>
      <c r="C72" s="9" t="s">
        <v>516</v>
      </c>
      <c r="D72" s="8">
        <v>10</v>
      </c>
      <c r="E72" s="8">
        <v>4</v>
      </c>
      <c r="F72" s="901" t="s">
        <v>902</v>
      </c>
      <c r="G72" s="901"/>
      <c r="H72" s="901"/>
      <c r="I72" s="901"/>
      <c r="J72" s="901"/>
      <c r="K72" s="901"/>
      <c r="L72" s="901"/>
      <c r="M72" s="901"/>
      <c r="N72" s="901"/>
      <c r="O72" s="901"/>
      <c r="P72" s="901"/>
      <c r="Q72" s="902"/>
    </row>
    <row r="73" spans="2:17" x14ac:dyDescent="0.25">
      <c r="B73" s="940"/>
      <c r="C73" s="9" t="s">
        <v>517</v>
      </c>
      <c r="D73" s="8">
        <v>30</v>
      </c>
      <c r="E73" s="8">
        <v>2</v>
      </c>
      <c r="F73" s="901" t="s">
        <v>903</v>
      </c>
      <c r="G73" s="901"/>
      <c r="H73" s="901"/>
      <c r="I73" s="901"/>
      <c r="J73" s="901"/>
      <c r="K73" s="901"/>
      <c r="L73" s="901"/>
      <c r="M73" s="901"/>
      <c r="N73" s="901"/>
      <c r="O73" s="901"/>
      <c r="P73" s="901"/>
      <c r="Q73" s="902"/>
    </row>
    <row r="74" spans="2:17" x14ac:dyDescent="0.25">
      <c r="B74" s="940"/>
      <c r="C74" s="9" t="s">
        <v>518</v>
      </c>
      <c r="D74" s="8">
        <v>15</v>
      </c>
      <c r="E74" s="8">
        <v>3</v>
      </c>
      <c r="F74" s="901" t="s">
        <v>519</v>
      </c>
      <c r="G74" s="901"/>
      <c r="H74" s="901"/>
      <c r="I74" s="901"/>
      <c r="J74" s="901"/>
      <c r="K74" s="901"/>
      <c r="L74" s="901"/>
      <c r="M74" s="901"/>
      <c r="N74" s="901"/>
      <c r="O74" s="901"/>
      <c r="P74" s="901"/>
      <c r="Q74" s="902"/>
    </row>
    <row r="75" spans="2:17" x14ac:dyDescent="0.25">
      <c r="B75" s="940"/>
      <c r="C75" s="9" t="s">
        <v>520</v>
      </c>
      <c r="D75" s="8">
        <v>10</v>
      </c>
      <c r="E75" s="8">
        <v>1</v>
      </c>
      <c r="F75" s="901" t="s">
        <v>521</v>
      </c>
      <c r="G75" s="901"/>
      <c r="H75" s="901"/>
      <c r="I75" s="901"/>
      <c r="J75" s="901"/>
      <c r="K75" s="901"/>
      <c r="L75" s="901"/>
      <c r="M75" s="901"/>
      <c r="N75" s="901"/>
      <c r="O75" s="901"/>
      <c r="P75" s="901"/>
      <c r="Q75" s="902"/>
    </row>
    <row r="76" spans="2:17" x14ac:dyDescent="0.25">
      <c r="B76" s="940"/>
      <c r="C76" s="9" t="s">
        <v>522</v>
      </c>
      <c r="D76" s="8">
        <v>15</v>
      </c>
      <c r="E76" s="8">
        <v>1</v>
      </c>
      <c r="F76" s="901" t="s">
        <v>523</v>
      </c>
      <c r="G76" s="901"/>
      <c r="H76" s="901"/>
      <c r="I76" s="901"/>
      <c r="J76" s="901"/>
      <c r="K76" s="901"/>
      <c r="L76" s="901"/>
      <c r="M76" s="901"/>
      <c r="N76" s="901"/>
      <c r="O76" s="901"/>
      <c r="P76" s="901"/>
      <c r="Q76" s="902"/>
    </row>
    <row r="77" spans="2:17" x14ac:dyDescent="0.25">
      <c r="B77" s="940"/>
      <c r="C77" s="9" t="s">
        <v>524</v>
      </c>
      <c r="D77" s="8">
        <v>20</v>
      </c>
      <c r="E77" s="8">
        <v>1</v>
      </c>
      <c r="F77" s="901" t="s">
        <v>525</v>
      </c>
      <c r="G77" s="901"/>
      <c r="H77" s="901"/>
      <c r="I77" s="901"/>
      <c r="J77" s="901"/>
      <c r="K77" s="901"/>
      <c r="L77" s="901"/>
      <c r="M77" s="901"/>
      <c r="N77" s="901"/>
      <c r="O77" s="901"/>
      <c r="P77" s="901"/>
      <c r="Q77" s="902"/>
    </row>
    <row r="78" spans="2:17" x14ac:dyDescent="0.25">
      <c r="B78" s="940"/>
      <c r="C78" s="9" t="s">
        <v>526</v>
      </c>
      <c r="D78" s="8">
        <v>8</v>
      </c>
      <c r="E78" s="8">
        <v>4</v>
      </c>
      <c r="F78" s="901" t="s">
        <v>527</v>
      </c>
      <c r="G78" s="901"/>
      <c r="H78" s="901"/>
      <c r="I78" s="901"/>
      <c r="J78" s="901"/>
      <c r="K78" s="901"/>
      <c r="L78" s="901"/>
      <c r="M78" s="901"/>
      <c r="N78" s="901"/>
      <c r="O78" s="901"/>
      <c r="P78" s="901"/>
      <c r="Q78" s="902"/>
    </row>
    <row r="79" spans="2:17" x14ac:dyDescent="0.25">
      <c r="B79" s="940"/>
      <c r="C79" s="9" t="s">
        <v>528</v>
      </c>
      <c r="D79" s="8">
        <v>2</v>
      </c>
      <c r="E79" s="8">
        <v>50</v>
      </c>
      <c r="F79" s="901" t="s">
        <v>529</v>
      </c>
      <c r="G79" s="901"/>
      <c r="H79" s="901"/>
      <c r="I79" s="901"/>
      <c r="J79" s="901"/>
      <c r="K79" s="901"/>
      <c r="L79" s="901"/>
      <c r="M79" s="901"/>
      <c r="N79" s="901"/>
      <c r="O79" s="901"/>
      <c r="P79" s="901"/>
      <c r="Q79" s="902"/>
    </row>
    <row r="80" spans="2:17" x14ac:dyDescent="0.25">
      <c r="B80" s="940"/>
      <c r="C80" s="9" t="s">
        <v>530</v>
      </c>
      <c r="D80" s="8">
        <v>3</v>
      </c>
      <c r="E80" s="8">
        <v>50</v>
      </c>
      <c r="F80" s="901" t="s">
        <v>531</v>
      </c>
      <c r="G80" s="901"/>
      <c r="H80" s="901"/>
      <c r="I80" s="901"/>
      <c r="J80" s="901"/>
      <c r="K80" s="901"/>
      <c r="L80" s="901"/>
      <c r="M80" s="901"/>
      <c r="N80" s="901"/>
      <c r="O80" s="901"/>
      <c r="P80" s="901"/>
      <c r="Q80" s="902"/>
    </row>
    <row r="81" spans="2:17" x14ac:dyDescent="0.25">
      <c r="B81" s="940"/>
      <c r="C81" s="9" t="s">
        <v>532</v>
      </c>
      <c r="D81" s="8">
        <v>6</v>
      </c>
      <c r="E81" s="8">
        <v>3</v>
      </c>
      <c r="F81" s="901" t="s">
        <v>904</v>
      </c>
      <c r="G81" s="901"/>
      <c r="H81" s="901"/>
      <c r="I81" s="901"/>
      <c r="J81" s="901"/>
      <c r="K81" s="901"/>
      <c r="L81" s="901"/>
      <c r="M81" s="901"/>
      <c r="N81" s="901"/>
      <c r="O81" s="901"/>
      <c r="P81" s="901"/>
      <c r="Q81" s="902"/>
    </row>
    <row r="82" spans="2:17" x14ac:dyDescent="0.25">
      <c r="B82" s="940"/>
      <c r="C82" s="9" t="s">
        <v>533</v>
      </c>
      <c r="D82" s="8">
        <v>10</v>
      </c>
      <c r="E82" s="8">
        <v>1</v>
      </c>
      <c r="F82" s="901" t="s">
        <v>715</v>
      </c>
      <c r="G82" s="901"/>
      <c r="H82" s="901"/>
      <c r="I82" s="901"/>
      <c r="J82" s="901"/>
      <c r="K82" s="901"/>
      <c r="L82" s="901"/>
      <c r="M82" s="901"/>
      <c r="N82" s="901"/>
      <c r="O82" s="901"/>
      <c r="P82" s="901"/>
      <c r="Q82" s="902"/>
    </row>
    <row r="83" spans="2:17" x14ac:dyDescent="0.25">
      <c r="B83" s="940"/>
      <c r="C83" s="9" t="s">
        <v>534</v>
      </c>
      <c r="D83" s="8">
        <v>20</v>
      </c>
      <c r="E83" s="8">
        <v>1</v>
      </c>
      <c r="F83" s="901" t="s">
        <v>871</v>
      </c>
      <c r="G83" s="901"/>
      <c r="H83" s="901"/>
      <c r="I83" s="901"/>
      <c r="J83" s="901"/>
      <c r="K83" s="901"/>
      <c r="L83" s="901"/>
      <c r="M83" s="901"/>
      <c r="N83" s="901"/>
      <c r="O83" s="901"/>
      <c r="P83" s="901"/>
      <c r="Q83" s="902"/>
    </row>
    <row r="84" spans="2:17" x14ac:dyDescent="0.25">
      <c r="B84" s="940"/>
      <c r="C84" s="9" t="s">
        <v>535</v>
      </c>
      <c r="D84" s="8">
        <v>20</v>
      </c>
      <c r="E84" s="8">
        <v>1</v>
      </c>
      <c r="F84" s="901" t="s">
        <v>716</v>
      </c>
      <c r="G84" s="901"/>
      <c r="H84" s="901"/>
      <c r="I84" s="901"/>
      <c r="J84" s="901"/>
      <c r="K84" s="901"/>
      <c r="L84" s="901"/>
      <c r="M84" s="901"/>
      <c r="N84" s="901"/>
      <c r="O84" s="901"/>
      <c r="P84" s="901"/>
      <c r="Q84" s="902"/>
    </row>
    <row r="85" spans="2:17" x14ac:dyDescent="0.25">
      <c r="B85" s="940"/>
      <c r="C85" s="9" t="s">
        <v>536</v>
      </c>
      <c r="D85" s="8">
        <v>30</v>
      </c>
      <c r="E85" s="8">
        <v>1</v>
      </c>
      <c r="F85" s="901" t="s">
        <v>870</v>
      </c>
      <c r="G85" s="901"/>
      <c r="H85" s="901"/>
      <c r="I85" s="901"/>
      <c r="J85" s="901"/>
      <c r="K85" s="901"/>
      <c r="L85" s="901"/>
      <c r="M85" s="901"/>
      <c r="N85" s="901"/>
      <c r="O85" s="901"/>
      <c r="P85" s="901"/>
      <c r="Q85" s="902"/>
    </row>
    <row r="86" spans="2:17" x14ac:dyDescent="0.25">
      <c r="B86" s="940"/>
      <c r="C86" s="9" t="s">
        <v>537</v>
      </c>
      <c r="D86" s="8">
        <v>10</v>
      </c>
      <c r="E86" s="8">
        <v>3</v>
      </c>
      <c r="F86" s="901" t="s">
        <v>717</v>
      </c>
      <c r="G86" s="901"/>
      <c r="H86" s="901"/>
      <c r="I86" s="901"/>
      <c r="J86" s="901"/>
      <c r="K86" s="901"/>
      <c r="L86" s="901"/>
      <c r="M86" s="901"/>
      <c r="N86" s="901"/>
      <c r="O86" s="901"/>
      <c r="P86" s="901"/>
      <c r="Q86" s="902"/>
    </row>
    <row r="87" spans="2:17" x14ac:dyDescent="0.25">
      <c r="B87" s="940"/>
      <c r="C87" s="9" t="s">
        <v>538</v>
      </c>
      <c r="D87" s="8">
        <v>10</v>
      </c>
      <c r="E87" s="8">
        <v>2</v>
      </c>
      <c r="F87" s="901" t="s">
        <v>539</v>
      </c>
      <c r="G87" s="901"/>
      <c r="H87" s="901"/>
      <c r="I87" s="901"/>
      <c r="J87" s="901"/>
      <c r="K87" s="901"/>
      <c r="L87" s="901"/>
      <c r="M87" s="901"/>
      <c r="N87" s="901"/>
      <c r="O87" s="901"/>
      <c r="P87" s="901"/>
      <c r="Q87" s="902"/>
    </row>
    <row r="88" spans="2:17" x14ac:dyDescent="0.25">
      <c r="B88" s="940"/>
      <c r="C88" s="9" t="s">
        <v>540</v>
      </c>
      <c r="D88" s="8">
        <v>20</v>
      </c>
      <c r="E88" s="8">
        <v>2</v>
      </c>
      <c r="F88" s="901" t="s">
        <v>872</v>
      </c>
      <c r="G88" s="901"/>
      <c r="H88" s="901"/>
      <c r="I88" s="901"/>
      <c r="J88" s="901"/>
      <c r="K88" s="901"/>
      <c r="L88" s="901"/>
      <c r="M88" s="901"/>
      <c r="N88" s="901"/>
      <c r="O88" s="901"/>
      <c r="P88" s="901"/>
      <c r="Q88" s="902"/>
    </row>
    <row r="89" spans="2:17" x14ac:dyDescent="0.25">
      <c r="B89" s="940"/>
      <c r="C89" s="9" t="s">
        <v>541</v>
      </c>
      <c r="D89" s="8">
        <v>10</v>
      </c>
      <c r="E89" s="8">
        <v>2</v>
      </c>
      <c r="F89" s="901" t="s">
        <v>542</v>
      </c>
      <c r="G89" s="901"/>
      <c r="H89" s="901"/>
      <c r="I89" s="901"/>
      <c r="J89" s="901"/>
      <c r="K89" s="901"/>
      <c r="L89" s="901"/>
      <c r="M89" s="901"/>
      <c r="N89" s="901"/>
      <c r="O89" s="901"/>
      <c r="P89" s="901"/>
      <c r="Q89" s="902"/>
    </row>
    <row r="90" spans="2:17" x14ac:dyDescent="0.25">
      <c r="B90" s="940"/>
      <c r="C90" s="9" t="s">
        <v>543</v>
      </c>
      <c r="D90" s="8">
        <v>10</v>
      </c>
      <c r="E90" s="8">
        <v>1</v>
      </c>
      <c r="F90" s="901" t="s">
        <v>718</v>
      </c>
      <c r="G90" s="901"/>
      <c r="H90" s="901"/>
      <c r="I90" s="901"/>
      <c r="J90" s="901"/>
      <c r="K90" s="901"/>
      <c r="L90" s="901"/>
      <c r="M90" s="901"/>
      <c r="N90" s="901"/>
      <c r="O90" s="901"/>
      <c r="P90" s="901"/>
      <c r="Q90" s="902"/>
    </row>
    <row r="91" spans="2:17" x14ac:dyDescent="0.25">
      <c r="B91" s="940"/>
      <c r="C91" s="9" t="s">
        <v>544</v>
      </c>
      <c r="D91" s="8">
        <v>20</v>
      </c>
      <c r="E91" s="8">
        <v>1</v>
      </c>
      <c r="F91" s="901" t="s">
        <v>719</v>
      </c>
      <c r="G91" s="901"/>
      <c r="H91" s="901"/>
      <c r="I91" s="901"/>
      <c r="J91" s="901"/>
      <c r="K91" s="901"/>
      <c r="L91" s="901"/>
      <c r="M91" s="901"/>
      <c r="N91" s="901"/>
      <c r="O91" s="901"/>
      <c r="P91" s="901"/>
      <c r="Q91" s="902"/>
    </row>
    <row r="92" spans="2:17" x14ac:dyDescent="0.25">
      <c r="B92" s="940"/>
      <c r="C92" s="9" t="s">
        <v>545</v>
      </c>
      <c r="D92" s="8">
        <v>10</v>
      </c>
      <c r="E92" s="8">
        <v>2</v>
      </c>
      <c r="F92" s="897" t="s">
        <v>905</v>
      </c>
      <c r="G92" s="897"/>
      <c r="H92" s="897"/>
      <c r="I92" s="897"/>
      <c r="J92" s="897"/>
      <c r="K92" s="897"/>
      <c r="L92" s="897"/>
      <c r="M92" s="897"/>
      <c r="N92" s="897"/>
      <c r="O92" s="897"/>
      <c r="P92" s="897"/>
      <c r="Q92" s="898"/>
    </row>
    <row r="93" spans="2:17" x14ac:dyDescent="0.25">
      <c r="B93" s="940"/>
      <c r="C93" s="223" t="s">
        <v>546</v>
      </c>
      <c r="D93" s="225">
        <v>-15</v>
      </c>
      <c r="E93" s="225">
        <v>3</v>
      </c>
      <c r="F93" s="899" t="s">
        <v>720</v>
      </c>
      <c r="G93" s="899"/>
      <c r="H93" s="899"/>
      <c r="I93" s="899"/>
      <c r="J93" s="899"/>
      <c r="K93" s="899"/>
      <c r="L93" s="899"/>
      <c r="M93" s="899"/>
      <c r="N93" s="899"/>
      <c r="O93" s="899"/>
      <c r="P93" s="899"/>
      <c r="Q93" s="900"/>
    </row>
    <row r="94" spans="2:17" ht="15.75" thickBot="1" x14ac:dyDescent="0.3">
      <c r="B94" s="941"/>
      <c r="C94" s="9" t="s">
        <v>547</v>
      </c>
      <c r="D94" s="8">
        <v>-8</v>
      </c>
      <c r="E94" s="8">
        <v>5</v>
      </c>
      <c r="F94" s="903" t="s">
        <v>721</v>
      </c>
      <c r="G94" s="903"/>
      <c r="H94" s="903"/>
      <c r="I94" s="903"/>
      <c r="J94" s="903"/>
      <c r="K94" s="903"/>
      <c r="L94" s="903"/>
      <c r="M94" s="903"/>
      <c r="N94" s="903"/>
      <c r="O94" s="903"/>
      <c r="P94" s="903"/>
      <c r="Q94" s="904"/>
    </row>
    <row r="95" spans="2:17" x14ac:dyDescent="0.25">
      <c r="B95" s="939" t="s">
        <v>10</v>
      </c>
      <c r="C95" s="13" t="s">
        <v>548</v>
      </c>
      <c r="D95" s="157">
        <v>10</v>
      </c>
      <c r="E95" s="157">
        <v>1</v>
      </c>
      <c r="F95" s="907" t="s">
        <v>549</v>
      </c>
      <c r="G95" s="907"/>
      <c r="H95" s="907"/>
      <c r="I95" s="907"/>
      <c r="J95" s="907"/>
      <c r="K95" s="907"/>
      <c r="L95" s="907"/>
      <c r="M95" s="907"/>
      <c r="N95" s="907"/>
      <c r="O95" s="907"/>
      <c r="P95" s="907"/>
      <c r="Q95" s="908"/>
    </row>
    <row r="96" spans="2:17" x14ac:dyDescent="0.25">
      <c r="B96" s="940"/>
      <c r="C96" s="9" t="s">
        <v>550</v>
      </c>
      <c r="D96" s="8">
        <v>5</v>
      </c>
      <c r="E96" s="8">
        <v>5</v>
      </c>
      <c r="F96" s="901" t="s">
        <v>551</v>
      </c>
      <c r="G96" s="901"/>
      <c r="H96" s="901"/>
      <c r="I96" s="901"/>
      <c r="J96" s="901"/>
      <c r="K96" s="901"/>
      <c r="L96" s="901"/>
      <c r="M96" s="901"/>
      <c r="N96" s="901"/>
      <c r="O96" s="901"/>
      <c r="P96" s="901"/>
      <c r="Q96" s="902"/>
    </row>
    <row r="97" spans="2:17" x14ac:dyDescent="0.25">
      <c r="B97" s="940"/>
      <c r="C97" s="9" t="s">
        <v>552</v>
      </c>
      <c r="D97" s="8">
        <v>10</v>
      </c>
      <c r="E97" s="8">
        <v>1</v>
      </c>
      <c r="F97" s="901" t="s">
        <v>873</v>
      </c>
      <c r="G97" s="901"/>
      <c r="H97" s="901"/>
      <c r="I97" s="901"/>
      <c r="J97" s="901"/>
      <c r="K97" s="901"/>
      <c r="L97" s="901"/>
      <c r="M97" s="901"/>
      <c r="N97" s="901"/>
      <c r="O97" s="901"/>
      <c r="P97" s="901"/>
      <c r="Q97" s="902"/>
    </row>
    <row r="98" spans="2:17" x14ac:dyDescent="0.25">
      <c r="B98" s="940"/>
      <c r="C98" s="9" t="s">
        <v>553</v>
      </c>
      <c r="D98" s="8">
        <v>40</v>
      </c>
      <c r="E98" s="8">
        <v>3</v>
      </c>
      <c r="F98" s="901" t="s">
        <v>722</v>
      </c>
      <c r="G98" s="901"/>
      <c r="H98" s="901"/>
      <c r="I98" s="901"/>
      <c r="J98" s="901"/>
      <c r="K98" s="901"/>
      <c r="L98" s="901"/>
      <c r="M98" s="901"/>
      <c r="N98" s="901"/>
      <c r="O98" s="901"/>
      <c r="P98" s="901"/>
      <c r="Q98" s="902"/>
    </row>
    <row r="99" spans="2:17" x14ac:dyDescent="0.25">
      <c r="B99" s="940"/>
      <c r="C99" s="9" t="s">
        <v>554</v>
      </c>
      <c r="D99" s="8">
        <v>2</v>
      </c>
      <c r="E99" s="8">
        <v>1</v>
      </c>
      <c r="F99" s="901" t="s">
        <v>874</v>
      </c>
      <c r="G99" s="901"/>
      <c r="H99" s="901"/>
      <c r="I99" s="901"/>
      <c r="J99" s="901"/>
      <c r="K99" s="901"/>
      <c r="L99" s="901"/>
      <c r="M99" s="901"/>
      <c r="N99" s="901"/>
      <c r="O99" s="901"/>
      <c r="P99" s="901"/>
      <c r="Q99" s="902"/>
    </row>
    <row r="100" spans="2:17" x14ac:dyDescent="0.25">
      <c r="B100" s="940"/>
      <c r="C100" s="9" t="s">
        <v>555</v>
      </c>
      <c r="D100" s="8">
        <v>5</v>
      </c>
      <c r="E100" s="8">
        <v>1</v>
      </c>
      <c r="F100" s="901" t="s">
        <v>875</v>
      </c>
      <c r="G100" s="901"/>
      <c r="H100" s="901"/>
      <c r="I100" s="901"/>
      <c r="J100" s="901"/>
      <c r="K100" s="901"/>
      <c r="L100" s="901"/>
      <c r="M100" s="901"/>
      <c r="N100" s="901"/>
      <c r="O100" s="901"/>
      <c r="P100" s="901"/>
      <c r="Q100" s="902"/>
    </row>
    <row r="101" spans="2:17" x14ac:dyDescent="0.25">
      <c r="B101" s="940"/>
      <c r="C101" s="9" t="s">
        <v>556</v>
      </c>
      <c r="D101" s="8">
        <v>10</v>
      </c>
      <c r="E101" s="8">
        <v>1</v>
      </c>
      <c r="F101" s="901" t="s">
        <v>876</v>
      </c>
      <c r="G101" s="901"/>
      <c r="H101" s="901"/>
      <c r="I101" s="901"/>
      <c r="J101" s="901"/>
      <c r="K101" s="901"/>
      <c r="L101" s="901"/>
      <c r="M101" s="901"/>
      <c r="N101" s="901"/>
      <c r="O101" s="901"/>
      <c r="P101" s="901"/>
      <c r="Q101" s="902"/>
    </row>
    <row r="102" spans="2:17" x14ac:dyDescent="0.25">
      <c r="B102" s="940"/>
      <c r="C102" s="9" t="s">
        <v>557</v>
      </c>
      <c r="D102" s="8">
        <v>2</v>
      </c>
      <c r="E102" s="8">
        <v>9</v>
      </c>
      <c r="F102" s="901" t="s">
        <v>877</v>
      </c>
      <c r="G102" s="901"/>
      <c r="H102" s="901"/>
      <c r="I102" s="901"/>
      <c r="J102" s="901"/>
      <c r="K102" s="901"/>
      <c r="L102" s="901"/>
      <c r="M102" s="901"/>
      <c r="N102" s="901"/>
      <c r="O102" s="901"/>
      <c r="P102" s="901"/>
      <c r="Q102" s="902"/>
    </row>
    <row r="103" spans="2:17" x14ac:dyDescent="0.25">
      <c r="B103" s="940"/>
      <c r="C103" s="9" t="s">
        <v>558</v>
      </c>
      <c r="D103" s="8">
        <v>5</v>
      </c>
      <c r="E103" s="8">
        <v>1</v>
      </c>
      <c r="F103" s="901" t="s">
        <v>723</v>
      </c>
      <c r="G103" s="901"/>
      <c r="H103" s="901"/>
      <c r="I103" s="901"/>
      <c r="J103" s="901"/>
      <c r="K103" s="901"/>
      <c r="L103" s="901"/>
      <c r="M103" s="901"/>
      <c r="N103" s="901"/>
      <c r="O103" s="901"/>
      <c r="P103" s="901"/>
      <c r="Q103" s="902"/>
    </row>
    <row r="104" spans="2:17" x14ac:dyDescent="0.25">
      <c r="B104" s="940"/>
      <c r="C104" s="9" t="s">
        <v>559</v>
      </c>
      <c r="D104" s="8">
        <v>10</v>
      </c>
      <c r="E104" s="8">
        <v>1</v>
      </c>
      <c r="F104" s="901" t="s">
        <v>724</v>
      </c>
      <c r="G104" s="901"/>
      <c r="H104" s="901"/>
      <c r="I104" s="901"/>
      <c r="J104" s="901"/>
      <c r="K104" s="901"/>
      <c r="L104" s="901"/>
      <c r="M104" s="901"/>
      <c r="N104" s="901"/>
      <c r="O104" s="901"/>
      <c r="P104" s="901"/>
      <c r="Q104" s="902"/>
    </row>
    <row r="105" spans="2:17" x14ac:dyDescent="0.25">
      <c r="B105" s="940"/>
      <c r="C105" s="9" t="s">
        <v>560</v>
      </c>
      <c r="D105" s="8">
        <v>6</v>
      </c>
      <c r="E105" s="8">
        <v>10</v>
      </c>
      <c r="F105" s="901" t="s">
        <v>725</v>
      </c>
      <c r="G105" s="901"/>
      <c r="H105" s="901"/>
      <c r="I105" s="901"/>
      <c r="J105" s="901"/>
      <c r="K105" s="901"/>
      <c r="L105" s="901"/>
      <c r="M105" s="901"/>
      <c r="N105" s="901"/>
      <c r="O105" s="901"/>
      <c r="P105" s="901"/>
      <c r="Q105" s="902"/>
    </row>
    <row r="106" spans="2:17" x14ac:dyDescent="0.25">
      <c r="B106" s="940"/>
      <c r="C106" s="68" t="s">
        <v>561</v>
      </c>
      <c r="D106" s="224">
        <v>3</v>
      </c>
      <c r="E106" s="224">
        <v>5</v>
      </c>
      <c r="F106" s="897" t="s">
        <v>726</v>
      </c>
      <c r="G106" s="897"/>
      <c r="H106" s="897"/>
      <c r="I106" s="897"/>
      <c r="J106" s="897"/>
      <c r="K106" s="897"/>
      <c r="L106" s="897"/>
      <c r="M106" s="897"/>
      <c r="N106" s="897"/>
      <c r="O106" s="897"/>
      <c r="P106" s="897"/>
      <c r="Q106" s="898"/>
    </row>
    <row r="107" spans="2:17" x14ac:dyDescent="0.25">
      <c r="B107" s="940"/>
      <c r="C107" s="9" t="s">
        <v>562</v>
      </c>
      <c r="D107" s="8">
        <v>-40</v>
      </c>
      <c r="E107" s="8">
        <v>3</v>
      </c>
      <c r="F107" s="899" t="s">
        <v>563</v>
      </c>
      <c r="G107" s="899"/>
      <c r="H107" s="899"/>
      <c r="I107" s="899"/>
      <c r="J107" s="899"/>
      <c r="K107" s="899"/>
      <c r="L107" s="899"/>
      <c r="M107" s="899"/>
      <c r="N107" s="899"/>
      <c r="O107" s="899"/>
      <c r="P107" s="899"/>
      <c r="Q107" s="900"/>
    </row>
    <row r="108" spans="2:17" x14ac:dyDescent="0.25">
      <c r="B108" s="940"/>
      <c r="C108" s="9" t="s">
        <v>564</v>
      </c>
      <c r="D108" s="8">
        <v>-10</v>
      </c>
      <c r="E108" s="8">
        <v>4</v>
      </c>
      <c r="F108" s="901" t="s">
        <v>878</v>
      </c>
      <c r="G108" s="901"/>
      <c r="H108" s="901"/>
      <c r="I108" s="901"/>
      <c r="J108" s="901"/>
      <c r="K108" s="901"/>
      <c r="L108" s="901"/>
      <c r="M108" s="901"/>
      <c r="N108" s="901"/>
      <c r="O108" s="901"/>
      <c r="P108" s="901"/>
      <c r="Q108" s="902"/>
    </row>
    <row r="109" spans="2:17" x14ac:dyDescent="0.25">
      <c r="B109" s="940"/>
      <c r="C109" s="9" t="s">
        <v>565</v>
      </c>
      <c r="D109" s="8">
        <v>-6</v>
      </c>
      <c r="E109" s="8">
        <v>10</v>
      </c>
      <c r="F109" s="901" t="s">
        <v>727</v>
      </c>
      <c r="G109" s="901"/>
      <c r="H109" s="901"/>
      <c r="I109" s="901"/>
      <c r="J109" s="901"/>
      <c r="K109" s="901"/>
      <c r="L109" s="901"/>
      <c r="M109" s="901"/>
      <c r="N109" s="901"/>
      <c r="O109" s="901"/>
      <c r="P109" s="901"/>
      <c r="Q109" s="902"/>
    </row>
    <row r="110" spans="2:17" x14ac:dyDescent="0.25">
      <c r="B110" s="940"/>
      <c r="C110" s="9" t="s">
        <v>566</v>
      </c>
      <c r="D110" s="8">
        <v>-2</v>
      </c>
      <c r="E110" s="8">
        <v>1</v>
      </c>
      <c r="F110" s="901" t="s">
        <v>879</v>
      </c>
      <c r="G110" s="901"/>
      <c r="H110" s="901"/>
      <c r="I110" s="901"/>
      <c r="J110" s="901"/>
      <c r="K110" s="901"/>
      <c r="L110" s="901"/>
      <c r="M110" s="901"/>
      <c r="N110" s="901"/>
      <c r="O110" s="901"/>
      <c r="P110" s="901"/>
      <c r="Q110" s="902"/>
    </row>
    <row r="111" spans="2:17" x14ac:dyDescent="0.25">
      <c r="B111" s="940"/>
      <c r="C111" s="9" t="s">
        <v>567</v>
      </c>
      <c r="D111" s="8">
        <v>-5</v>
      </c>
      <c r="E111" s="8">
        <v>1</v>
      </c>
      <c r="F111" s="901" t="s">
        <v>880</v>
      </c>
      <c r="G111" s="901"/>
      <c r="H111" s="901"/>
      <c r="I111" s="901"/>
      <c r="J111" s="901"/>
      <c r="K111" s="901"/>
      <c r="L111" s="901"/>
      <c r="M111" s="901"/>
      <c r="N111" s="901"/>
      <c r="O111" s="901"/>
      <c r="P111" s="901"/>
      <c r="Q111" s="902"/>
    </row>
    <row r="112" spans="2:17" x14ac:dyDescent="0.25">
      <c r="B112" s="940"/>
      <c r="C112" s="9" t="s">
        <v>568</v>
      </c>
      <c r="D112" s="8">
        <v>-10</v>
      </c>
      <c r="E112" s="8">
        <v>1</v>
      </c>
      <c r="F112" s="901" t="s">
        <v>881</v>
      </c>
      <c r="G112" s="901"/>
      <c r="H112" s="901"/>
      <c r="I112" s="901"/>
      <c r="J112" s="901"/>
      <c r="K112" s="901"/>
      <c r="L112" s="901"/>
      <c r="M112" s="901"/>
      <c r="N112" s="901"/>
      <c r="O112" s="901"/>
      <c r="P112" s="901"/>
      <c r="Q112" s="902"/>
    </row>
    <row r="113" spans="2:17" x14ac:dyDescent="0.25">
      <c r="B113" s="940"/>
      <c r="C113" s="9" t="s">
        <v>569</v>
      </c>
      <c r="D113" s="8">
        <v>-10</v>
      </c>
      <c r="E113" s="8">
        <v>1</v>
      </c>
      <c r="F113" s="901" t="s">
        <v>882</v>
      </c>
      <c r="G113" s="901"/>
      <c r="H113" s="901"/>
      <c r="I113" s="901"/>
      <c r="J113" s="901"/>
      <c r="K113" s="901"/>
      <c r="L113" s="901"/>
      <c r="M113" s="901"/>
      <c r="N113" s="901"/>
      <c r="O113" s="901"/>
      <c r="P113" s="901"/>
      <c r="Q113" s="902"/>
    </row>
    <row r="114" spans="2:17" x14ac:dyDescent="0.25">
      <c r="B114" s="940"/>
      <c r="C114" s="9" t="s">
        <v>570</v>
      </c>
      <c r="D114" s="8">
        <v>-5</v>
      </c>
      <c r="E114" s="8">
        <v>5</v>
      </c>
      <c r="F114" s="901" t="s">
        <v>571</v>
      </c>
      <c r="G114" s="901"/>
      <c r="H114" s="901"/>
      <c r="I114" s="901"/>
      <c r="J114" s="901"/>
      <c r="K114" s="901"/>
      <c r="L114" s="901"/>
      <c r="M114" s="901"/>
      <c r="N114" s="901"/>
      <c r="O114" s="901"/>
      <c r="P114" s="901"/>
      <c r="Q114" s="902"/>
    </row>
    <row r="115" spans="2:17" ht="15.75" thickBot="1" x14ac:dyDescent="0.3">
      <c r="B115" s="941"/>
      <c r="C115" s="17" t="s">
        <v>572</v>
      </c>
      <c r="D115" s="18">
        <v>-3</v>
      </c>
      <c r="E115" s="18">
        <v>5</v>
      </c>
      <c r="F115" s="903" t="s">
        <v>573</v>
      </c>
      <c r="G115" s="903"/>
      <c r="H115" s="903"/>
      <c r="I115" s="903"/>
      <c r="J115" s="903"/>
      <c r="K115" s="903"/>
      <c r="L115" s="903"/>
      <c r="M115" s="903"/>
      <c r="N115" s="903"/>
      <c r="O115" s="903"/>
      <c r="P115" s="903"/>
      <c r="Q115" s="904"/>
    </row>
    <row r="116" spans="2:17" x14ac:dyDescent="0.25">
      <c r="B116" s="939" t="s">
        <v>574</v>
      </c>
      <c r="C116" s="9" t="s">
        <v>614</v>
      </c>
      <c r="D116" s="8">
        <v>10</v>
      </c>
      <c r="E116" s="8">
        <v>1</v>
      </c>
      <c r="F116" s="907" t="s">
        <v>575</v>
      </c>
      <c r="G116" s="907"/>
      <c r="H116" s="907"/>
      <c r="I116" s="907"/>
      <c r="J116" s="907"/>
      <c r="K116" s="907"/>
      <c r="L116" s="907"/>
      <c r="M116" s="907"/>
      <c r="N116" s="907"/>
      <c r="O116" s="907"/>
      <c r="P116" s="907"/>
      <c r="Q116" s="908"/>
    </row>
    <row r="117" spans="2:17" x14ac:dyDescent="0.25">
      <c r="B117" s="940"/>
      <c r="C117" s="9" t="s">
        <v>615</v>
      </c>
      <c r="D117" s="8">
        <v>30</v>
      </c>
      <c r="E117" s="8">
        <v>1</v>
      </c>
      <c r="F117" s="901" t="s">
        <v>576</v>
      </c>
      <c r="G117" s="901"/>
      <c r="H117" s="901"/>
      <c r="I117" s="901"/>
      <c r="J117" s="901"/>
      <c r="K117" s="901"/>
      <c r="L117" s="901"/>
      <c r="M117" s="901"/>
      <c r="N117" s="901"/>
      <c r="O117" s="901"/>
      <c r="P117" s="901"/>
      <c r="Q117" s="902"/>
    </row>
    <row r="118" spans="2:17" x14ac:dyDescent="0.25">
      <c r="B118" s="940"/>
      <c r="C118" s="9" t="s">
        <v>577</v>
      </c>
      <c r="D118" s="8">
        <v>10</v>
      </c>
      <c r="E118" s="8">
        <v>3</v>
      </c>
      <c r="F118" s="901" t="s">
        <v>728</v>
      </c>
      <c r="G118" s="901"/>
      <c r="H118" s="901"/>
      <c r="I118" s="901"/>
      <c r="J118" s="901"/>
      <c r="K118" s="901"/>
      <c r="L118" s="901"/>
      <c r="M118" s="901"/>
      <c r="N118" s="901"/>
      <c r="O118" s="901"/>
      <c r="P118" s="901"/>
      <c r="Q118" s="902"/>
    </row>
    <row r="119" spans="2:17" x14ac:dyDescent="0.25">
      <c r="B119" s="940"/>
      <c r="C119" s="9" t="s">
        <v>578</v>
      </c>
      <c r="D119" s="8">
        <v>4</v>
      </c>
      <c r="E119" s="8">
        <v>5</v>
      </c>
      <c r="F119" s="901" t="s">
        <v>729</v>
      </c>
      <c r="G119" s="901"/>
      <c r="H119" s="901"/>
      <c r="I119" s="901"/>
      <c r="J119" s="901"/>
      <c r="K119" s="901"/>
      <c r="L119" s="901"/>
      <c r="M119" s="901"/>
      <c r="N119" s="901"/>
      <c r="O119" s="901"/>
      <c r="P119" s="901"/>
      <c r="Q119" s="902"/>
    </row>
    <row r="120" spans="2:17" x14ac:dyDescent="0.25">
      <c r="B120" s="940"/>
      <c r="C120" s="9" t="s">
        <v>579</v>
      </c>
      <c r="D120" s="8">
        <v>5</v>
      </c>
      <c r="E120" s="8">
        <v>3</v>
      </c>
      <c r="F120" s="901" t="s">
        <v>580</v>
      </c>
      <c r="G120" s="901"/>
      <c r="H120" s="901"/>
      <c r="I120" s="901"/>
      <c r="J120" s="901"/>
      <c r="K120" s="901"/>
      <c r="L120" s="901"/>
      <c r="M120" s="901"/>
      <c r="N120" s="901"/>
      <c r="O120" s="901"/>
      <c r="P120" s="901"/>
      <c r="Q120" s="902"/>
    </row>
    <row r="121" spans="2:17" x14ac:dyDescent="0.25">
      <c r="B121" s="940"/>
      <c r="C121" s="9" t="s">
        <v>581</v>
      </c>
      <c r="D121" s="8">
        <v>5</v>
      </c>
      <c r="E121" s="8">
        <v>3</v>
      </c>
      <c r="F121" s="901" t="s">
        <v>582</v>
      </c>
      <c r="G121" s="901"/>
      <c r="H121" s="901"/>
      <c r="I121" s="901"/>
      <c r="J121" s="901"/>
      <c r="K121" s="901"/>
      <c r="L121" s="901"/>
      <c r="M121" s="901"/>
      <c r="N121" s="901"/>
      <c r="O121" s="901"/>
      <c r="P121" s="901"/>
      <c r="Q121" s="902"/>
    </row>
    <row r="122" spans="2:17" ht="15.75" thickBot="1" x14ac:dyDescent="0.3">
      <c r="B122" s="941"/>
      <c r="C122" s="17" t="s">
        <v>583</v>
      </c>
      <c r="D122" s="18">
        <v>4</v>
      </c>
      <c r="E122" s="18">
        <v>5</v>
      </c>
      <c r="F122" s="903" t="s">
        <v>584</v>
      </c>
      <c r="G122" s="903"/>
      <c r="H122" s="903"/>
      <c r="I122" s="903"/>
      <c r="J122" s="903"/>
      <c r="K122" s="903"/>
      <c r="L122" s="903"/>
      <c r="M122" s="903"/>
      <c r="N122" s="903"/>
      <c r="O122" s="903"/>
      <c r="P122" s="903"/>
      <c r="Q122" s="904"/>
    </row>
    <row r="123" spans="2:17" x14ac:dyDescent="0.25">
      <c r="B123" s="939" t="s">
        <v>292</v>
      </c>
      <c r="C123" s="13" t="s">
        <v>585</v>
      </c>
      <c r="D123" s="157">
        <v>10</v>
      </c>
      <c r="E123" s="157">
        <v>1</v>
      </c>
      <c r="F123" s="907" t="s">
        <v>586</v>
      </c>
      <c r="G123" s="907"/>
      <c r="H123" s="907"/>
      <c r="I123" s="907"/>
      <c r="J123" s="907"/>
      <c r="K123" s="907"/>
      <c r="L123" s="907"/>
      <c r="M123" s="907"/>
      <c r="N123" s="907"/>
      <c r="O123" s="907"/>
      <c r="P123" s="907"/>
      <c r="Q123" s="908"/>
    </row>
    <row r="124" spans="2:17" x14ac:dyDescent="0.25">
      <c r="B124" s="940"/>
      <c r="C124" s="9" t="s">
        <v>587</v>
      </c>
      <c r="D124" s="8" t="s">
        <v>588</v>
      </c>
      <c r="E124" s="8">
        <v>4</v>
      </c>
      <c r="F124" s="901" t="s">
        <v>589</v>
      </c>
      <c r="G124" s="901"/>
      <c r="H124" s="901"/>
      <c r="I124" s="901"/>
      <c r="J124" s="901"/>
      <c r="K124" s="901"/>
      <c r="L124" s="901"/>
      <c r="M124" s="901"/>
      <c r="N124" s="901"/>
      <c r="O124" s="901"/>
      <c r="P124" s="901"/>
      <c r="Q124" s="902"/>
    </row>
    <row r="125" spans="2:17" x14ac:dyDescent="0.25">
      <c r="B125" s="940"/>
      <c r="C125" s="9" t="s">
        <v>590</v>
      </c>
      <c r="D125" s="8">
        <v>10</v>
      </c>
      <c r="E125" s="8">
        <v>1</v>
      </c>
      <c r="F125" s="901" t="s">
        <v>591</v>
      </c>
      <c r="G125" s="901"/>
      <c r="H125" s="901"/>
      <c r="I125" s="901"/>
      <c r="J125" s="901"/>
      <c r="K125" s="901"/>
      <c r="L125" s="901"/>
      <c r="M125" s="901"/>
      <c r="N125" s="901"/>
      <c r="O125" s="901"/>
      <c r="P125" s="901"/>
      <c r="Q125" s="902"/>
    </row>
    <row r="126" spans="2:17" x14ac:dyDescent="0.25">
      <c r="B126" s="940"/>
      <c r="C126" s="9" t="s">
        <v>592</v>
      </c>
      <c r="D126" s="8">
        <v>20</v>
      </c>
      <c r="E126" s="8">
        <v>1</v>
      </c>
      <c r="F126" s="901" t="s">
        <v>593</v>
      </c>
      <c r="G126" s="901"/>
      <c r="H126" s="901"/>
      <c r="I126" s="901"/>
      <c r="J126" s="901"/>
      <c r="K126" s="901"/>
      <c r="L126" s="901"/>
      <c r="M126" s="901"/>
      <c r="N126" s="901"/>
      <c r="O126" s="901"/>
      <c r="P126" s="901"/>
      <c r="Q126" s="902"/>
    </row>
    <row r="127" spans="2:17" x14ac:dyDescent="0.25">
      <c r="B127" s="940"/>
      <c r="C127" s="9" t="s">
        <v>594</v>
      </c>
      <c r="D127" s="8">
        <v>5</v>
      </c>
      <c r="E127" s="8">
        <v>5</v>
      </c>
      <c r="F127" s="901" t="s">
        <v>730</v>
      </c>
      <c r="G127" s="901"/>
      <c r="H127" s="901"/>
      <c r="I127" s="901"/>
      <c r="J127" s="901"/>
      <c r="K127" s="901"/>
      <c r="L127" s="901"/>
      <c r="M127" s="901"/>
      <c r="N127" s="901"/>
      <c r="O127" s="901"/>
      <c r="P127" s="901"/>
      <c r="Q127" s="902"/>
    </row>
    <row r="128" spans="2:17" x14ac:dyDescent="0.25">
      <c r="B128" s="940"/>
      <c r="C128" s="9" t="s">
        <v>595</v>
      </c>
      <c r="D128" s="8">
        <v>10</v>
      </c>
      <c r="E128" s="8">
        <v>5</v>
      </c>
      <c r="F128" s="901" t="s">
        <v>596</v>
      </c>
      <c r="G128" s="901"/>
      <c r="H128" s="901"/>
      <c r="I128" s="901"/>
      <c r="J128" s="901"/>
      <c r="K128" s="901"/>
      <c r="L128" s="901"/>
      <c r="M128" s="901"/>
      <c r="N128" s="901"/>
      <c r="O128" s="901"/>
      <c r="P128" s="901"/>
      <c r="Q128" s="902"/>
    </row>
    <row r="129" spans="2:17" x14ac:dyDescent="0.25">
      <c r="B129" s="940"/>
      <c r="C129" s="9" t="s">
        <v>597</v>
      </c>
      <c r="D129" s="8">
        <v>20</v>
      </c>
      <c r="E129" s="8">
        <v>1</v>
      </c>
      <c r="F129" s="901" t="s">
        <v>598</v>
      </c>
      <c r="G129" s="901"/>
      <c r="H129" s="901"/>
      <c r="I129" s="901"/>
      <c r="J129" s="901"/>
      <c r="K129" s="901"/>
      <c r="L129" s="901"/>
      <c r="M129" s="901"/>
      <c r="N129" s="901"/>
      <c r="O129" s="901"/>
      <c r="P129" s="901"/>
      <c r="Q129" s="902"/>
    </row>
    <row r="130" spans="2:17" x14ac:dyDescent="0.25">
      <c r="B130" s="940"/>
      <c r="C130" s="9" t="s">
        <v>599</v>
      </c>
      <c r="D130" s="8">
        <v>30</v>
      </c>
      <c r="E130" s="8">
        <v>1</v>
      </c>
      <c r="F130" s="901" t="s">
        <v>600</v>
      </c>
      <c r="G130" s="901"/>
      <c r="H130" s="901"/>
      <c r="I130" s="901"/>
      <c r="J130" s="901"/>
      <c r="K130" s="901"/>
      <c r="L130" s="901"/>
      <c r="M130" s="901"/>
      <c r="N130" s="901"/>
      <c r="O130" s="901"/>
      <c r="P130" s="901"/>
      <c r="Q130" s="902"/>
    </row>
    <row r="131" spans="2:17" x14ac:dyDescent="0.25">
      <c r="B131" s="940"/>
      <c r="C131" s="9" t="s">
        <v>601</v>
      </c>
      <c r="D131" s="8">
        <v>40</v>
      </c>
      <c r="E131" s="8">
        <v>1</v>
      </c>
      <c r="F131" s="897" t="s">
        <v>602</v>
      </c>
      <c r="G131" s="897"/>
      <c r="H131" s="897"/>
      <c r="I131" s="897"/>
      <c r="J131" s="897"/>
      <c r="K131" s="897"/>
      <c r="L131" s="897"/>
      <c r="M131" s="897"/>
      <c r="N131" s="897"/>
      <c r="O131" s="897"/>
      <c r="P131" s="897"/>
      <c r="Q131" s="898"/>
    </row>
    <row r="132" spans="2:17" x14ac:dyDescent="0.25">
      <c r="B132" s="940"/>
      <c r="C132" s="223" t="s">
        <v>603</v>
      </c>
      <c r="D132" s="225">
        <v>-15</v>
      </c>
      <c r="E132" s="225">
        <v>1</v>
      </c>
      <c r="F132" s="899" t="s">
        <v>731</v>
      </c>
      <c r="G132" s="899"/>
      <c r="H132" s="899"/>
      <c r="I132" s="899"/>
      <c r="J132" s="899"/>
      <c r="K132" s="899"/>
      <c r="L132" s="899"/>
      <c r="M132" s="899"/>
      <c r="N132" s="899"/>
      <c r="O132" s="899"/>
      <c r="P132" s="899"/>
      <c r="Q132" s="900"/>
    </row>
    <row r="133" spans="2:17" x14ac:dyDescent="0.25">
      <c r="B133" s="940"/>
      <c r="C133" s="9" t="s">
        <v>604</v>
      </c>
      <c r="D133" s="8">
        <v>-30</v>
      </c>
      <c r="E133" s="8">
        <v>1</v>
      </c>
      <c r="F133" s="901" t="s">
        <v>732</v>
      </c>
      <c r="G133" s="901"/>
      <c r="H133" s="901"/>
      <c r="I133" s="901"/>
      <c r="J133" s="901"/>
      <c r="K133" s="901"/>
      <c r="L133" s="901"/>
      <c r="M133" s="901"/>
      <c r="N133" s="901"/>
      <c r="O133" s="901"/>
      <c r="P133" s="901"/>
      <c r="Q133" s="902"/>
    </row>
    <row r="134" spans="2:17" ht="15.75" thickBot="1" x14ac:dyDescent="0.3">
      <c r="B134" s="941"/>
      <c r="C134" s="17" t="s">
        <v>605</v>
      </c>
      <c r="D134" s="18">
        <v>-5</v>
      </c>
      <c r="E134" s="18">
        <v>5</v>
      </c>
      <c r="F134" s="903" t="s">
        <v>733</v>
      </c>
      <c r="G134" s="903"/>
      <c r="H134" s="903"/>
      <c r="I134" s="903"/>
      <c r="J134" s="903"/>
      <c r="K134" s="903"/>
      <c r="L134" s="903"/>
      <c r="M134" s="903"/>
      <c r="N134" s="903"/>
      <c r="O134" s="903"/>
      <c r="P134" s="903"/>
      <c r="Q134" s="904"/>
    </row>
    <row r="135" spans="2:17" x14ac:dyDescent="0.25">
      <c r="M135" s="9"/>
    </row>
    <row r="136" spans="2:17" x14ac:dyDescent="0.25">
      <c r="M136" s="9"/>
    </row>
    <row r="137" spans="2:17" x14ac:dyDescent="0.25">
      <c r="M137" s="9"/>
    </row>
    <row r="138" spans="2:17" x14ac:dyDescent="0.25">
      <c r="M138" s="9"/>
    </row>
    <row r="139" spans="2:17" x14ac:dyDescent="0.25">
      <c r="M139" s="9"/>
    </row>
    <row r="140" spans="2:17" x14ac:dyDescent="0.25">
      <c r="M140" s="9"/>
    </row>
    <row r="141" spans="2:17" x14ac:dyDescent="0.25">
      <c r="M141" s="9"/>
    </row>
    <row r="142" spans="2:17" x14ac:dyDescent="0.25">
      <c r="F142"/>
      <c r="M142" s="9"/>
    </row>
    <row r="143" spans="2:17" x14ac:dyDescent="0.25">
      <c r="F143"/>
      <c r="M143" s="9"/>
    </row>
    <row r="144" spans="2:17" x14ac:dyDescent="0.25">
      <c r="F144"/>
      <c r="M144" s="9"/>
    </row>
    <row r="145" spans="6:13" x14ac:dyDescent="0.25">
      <c r="F145"/>
      <c r="M145" s="9"/>
    </row>
    <row r="146" spans="6:13" x14ac:dyDescent="0.25">
      <c r="F146"/>
      <c r="M146" s="9"/>
    </row>
    <row r="147" spans="6:13" x14ac:dyDescent="0.25">
      <c r="F147"/>
      <c r="M147" s="9"/>
    </row>
    <row r="148" spans="6:13" x14ac:dyDescent="0.25">
      <c r="F148"/>
      <c r="M148" s="9"/>
    </row>
    <row r="149" spans="6:13" x14ac:dyDescent="0.25">
      <c r="F149"/>
      <c r="M149" s="9"/>
    </row>
    <row r="150" spans="6:13" x14ac:dyDescent="0.25">
      <c r="F150"/>
      <c r="M150" s="9"/>
    </row>
    <row r="151" spans="6:13" x14ac:dyDescent="0.25">
      <c r="F151"/>
      <c r="M151" s="9"/>
    </row>
    <row r="152" spans="6:13" x14ac:dyDescent="0.25">
      <c r="F152"/>
      <c r="M152" s="9"/>
    </row>
    <row r="153" spans="6:13" x14ac:dyDescent="0.25">
      <c r="F153"/>
      <c r="M153" s="9"/>
    </row>
    <row r="154" spans="6:13" x14ac:dyDescent="0.25">
      <c r="F154"/>
      <c r="M154" s="9"/>
    </row>
    <row r="155" spans="6:13" x14ac:dyDescent="0.25">
      <c r="F155"/>
      <c r="M155" s="9"/>
    </row>
    <row r="156" spans="6:13" x14ac:dyDescent="0.25">
      <c r="F156"/>
      <c r="M156" s="9"/>
    </row>
    <row r="157" spans="6:13" x14ac:dyDescent="0.25">
      <c r="F157"/>
      <c r="M157" s="9"/>
    </row>
    <row r="158" spans="6:13" x14ac:dyDescent="0.25">
      <c r="F158"/>
      <c r="M158" s="9"/>
    </row>
    <row r="159" spans="6:13" x14ac:dyDescent="0.25">
      <c r="F159"/>
      <c r="M159" s="9"/>
    </row>
    <row r="160" spans="6:13" x14ac:dyDescent="0.25">
      <c r="F160"/>
      <c r="M160" s="9"/>
    </row>
    <row r="161" spans="6:13" x14ac:dyDescent="0.25">
      <c r="F161"/>
      <c r="M161" s="9"/>
    </row>
    <row r="162" spans="6:13" x14ac:dyDescent="0.25">
      <c r="F162"/>
      <c r="M162" s="9"/>
    </row>
    <row r="163" spans="6:13" x14ac:dyDescent="0.25">
      <c r="F163"/>
      <c r="M163" s="9"/>
    </row>
    <row r="164" spans="6:13" x14ac:dyDescent="0.25">
      <c r="F164"/>
      <c r="M164" s="9"/>
    </row>
    <row r="165" spans="6:13" x14ac:dyDescent="0.25">
      <c r="F165"/>
      <c r="M165" s="9"/>
    </row>
    <row r="166" spans="6:13" x14ac:dyDescent="0.25">
      <c r="F166"/>
      <c r="M166" s="9"/>
    </row>
    <row r="167" spans="6:13" x14ac:dyDescent="0.25">
      <c r="F167"/>
      <c r="M167" s="9"/>
    </row>
    <row r="168" spans="6:13" x14ac:dyDescent="0.25">
      <c r="F168"/>
      <c r="M168" s="9"/>
    </row>
    <row r="169" spans="6:13" x14ac:dyDescent="0.25">
      <c r="F169"/>
      <c r="M169" s="9"/>
    </row>
    <row r="170" spans="6:13" x14ac:dyDescent="0.25">
      <c r="F170"/>
      <c r="M170" s="9"/>
    </row>
    <row r="171" spans="6:13" x14ac:dyDescent="0.25">
      <c r="F171"/>
      <c r="M171" s="9"/>
    </row>
    <row r="172" spans="6:13" x14ac:dyDescent="0.25">
      <c r="F172"/>
      <c r="M172" s="9"/>
    </row>
    <row r="173" spans="6:13" x14ac:dyDescent="0.25">
      <c r="F173"/>
      <c r="M173" s="9"/>
    </row>
    <row r="174" spans="6:13" x14ac:dyDescent="0.25">
      <c r="F174"/>
      <c r="M174" s="9"/>
    </row>
    <row r="175" spans="6:13" x14ac:dyDescent="0.25">
      <c r="F175"/>
      <c r="M175" s="9"/>
    </row>
    <row r="176" spans="6:13" x14ac:dyDescent="0.25">
      <c r="F176"/>
      <c r="M176" s="9"/>
    </row>
    <row r="177" spans="6:13" x14ac:dyDescent="0.25">
      <c r="F177"/>
      <c r="M177" s="9"/>
    </row>
    <row r="178" spans="6:13" x14ac:dyDescent="0.25">
      <c r="F178"/>
      <c r="M178" s="9"/>
    </row>
    <row r="179" spans="6:13" x14ac:dyDescent="0.25">
      <c r="F179"/>
      <c r="M179" s="9"/>
    </row>
    <row r="180" spans="6:13" x14ac:dyDescent="0.25">
      <c r="F180"/>
      <c r="M180" s="9"/>
    </row>
  </sheetData>
  <sheetProtection sheet="1" objects="1" scenarios="1"/>
  <mergeCells count="147">
    <mergeCell ref="B123:B134"/>
    <mergeCell ref="B71:B94"/>
    <mergeCell ref="B38:B62"/>
    <mergeCell ref="B63:B70"/>
    <mergeCell ref="B4:B37"/>
    <mergeCell ref="B95:B115"/>
    <mergeCell ref="B116:B122"/>
    <mergeCell ref="U8:AG8"/>
    <mergeCell ref="U9:AG9"/>
    <mergeCell ref="U10:AG10"/>
    <mergeCell ref="F4:Q4"/>
    <mergeCell ref="F9:Q9"/>
    <mergeCell ref="F10:Q10"/>
    <mergeCell ref="F16:Q16"/>
    <mergeCell ref="F17:Q17"/>
    <mergeCell ref="F18:Q18"/>
    <mergeCell ref="F19:Q19"/>
    <mergeCell ref="F20:Q20"/>
    <mergeCell ref="F11:Q11"/>
    <mergeCell ref="F12:Q12"/>
    <mergeCell ref="F13:Q13"/>
    <mergeCell ref="F14:Q14"/>
    <mergeCell ref="F15:Q15"/>
    <mergeCell ref="F26:Q26"/>
    <mergeCell ref="S3:AG3"/>
    <mergeCell ref="U4:AG4"/>
    <mergeCell ref="U5:AG5"/>
    <mergeCell ref="U6:AG6"/>
    <mergeCell ref="U7:AG7"/>
    <mergeCell ref="F5:Q5"/>
    <mergeCell ref="F6:Q6"/>
    <mergeCell ref="F7:Q7"/>
    <mergeCell ref="F8:Q8"/>
    <mergeCell ref="F27:Q27"/>
    <mergeCell ref="F28:Q28"/>
    <mergeCell ref="F29:Q29"/>
    <mergeCell ref="F30:Q30"/>
    <mergeCell ref="F21:Q21"/>
    <mergeCell ref="F22:Q22"/>
    <mergeCell ref="F23:Q23"/>
    <mergeCell ref="F24:Q24"/>
    <mergeCell ref="F25:Q25"/>
    <mergeCell ref="F36:Q36"/>
    <mergeCell ref="F37:Q37"/>
    <mergeCell ref="F38:Q38"/>
    <mergeCell ref="F39:Q39"/>
    <mergeCell ref="F40:Q40"/>
    <mergeCell ref="F31:Q31"/>
    <mergeCell ref="F32:Q32"/>
    <mergeCell ref="F33:Q33"/>
    <mergeCell ref="F34:Q34"/>
    <mergeCell ref="F35:Q35"/>
    <mergeCell ref="F46:Q46"/>
    <mergeCell ref="F47:Q47"/>
    <mergeCell ref="F48:Q48"/>
    <mergeCell ref="F49:Q49"/>
    <mergeCell ref="F50:Q50"/>
    <mergeCell ref="F41:Q41"/>
    <mergeCell ref="F42:Q42"/>
    <mergeCell ref="F43:Q43"/>
    <mergeCell ref="F44:Q44"/>
    <mergeCell ref="F45:Q45"/>
    <mergeCell ref="F56:Q56"/>
    <mergeCell ref="F57:Q57"/>
    <mergeCell ref="F58:Q58"/>
    <mergeCell ref="F59:Q59"/>
    <mergeCell ref="F60:Q60"/>
    <mergeCell ref="F51:Q51"/>
    <mergeCell ref="F52:Q52"/>
    <mergeCell ref="F53:Q53"/>
    <mergeCell ref="F54:Q54"/>
    <mergeCell ref="F55:Q55"/>
    <mergeCell ref="F66:Q66"/>
    <mergeCell ref="F67:Q67"/>
    <mergeCell ref="F68:Q68"/>
    <mergeCell ref="F69:Q69"/>
    <mergeCell ref="F70:Q70"/>
    <mergeCell ref="F61:Q61"/>
    <mergeCell ref="F62:Q62"/>
    <mergeCell ref="F63:Q63"/>
    <mergeCell ref="F64:Q64"/>
    <mergeCell ref="F65:Q65"/>
    <mergeCell ref="F76:Q76"/>
    <mergeCell ref="F77:Q77"/>
    <mergeCell ref="F78:Q78"/>
    <mergeCell ref="F79:Q79"/>
    <mergeCell ref="F80:Q80"/>
    <mergeCell ref="F71:Q71"/>
    <mergeCell ref="F72:Q72"/>
    <mergeCell ref="F73:Q73"/>
    <mergeCell ref="F74:Q74"/>
    <mergeCell ref="F75:Q75"/>
    <mergeCell ref="F86:Q86"/>
    <mergeCell ref="F87:Q87"/>
    <mergeCell ref="F88:Q88"/>
    <mergeCell ref="F89:Q89"/>
    <mergeCell ref="F90:Q90"/>
    <mergeCell ref="F81:Q81"/>
    <mergeCell ref="F82:Q82"/>
    <mergeCell ref="F83:Q83"/>
    <mergeCell ref="F84:Q84"/>
    <mergeCell ref="F85:Q85"/>
    <mergeCell ref="F96:Q96"/>
    <mergeCell ref="F97:Q97"/>
    <mergeCell ref="F98:Q98"/>
    <mergeCell ref="F99:Q99"/>
    <mergeCell ref="F100:Q100"/>
    <mergeCell ref="F91:Q91"/>
    <mergeCell ref="F92:Q92"/>
    <mergeCell ref="F93:Q93"/>
    <mergeCell ref="F94:Q94"/>
    <mergeCell ref="F95:Q95"/>
    <mergeCell ref="F115:Q115"/>
    <mergeCell ref="F106:Q106"/>
    <mergeCell ref="F107:Q107"/>
    <mergeCell ref="F108:Q108"/>
    <mergeCell ref="F109:Q109"/>
    <mergeCell ref="F110:Q110"/>
    <mergeCell ref="F101:Q101"/>
    <mergeCell ref="F102:Q102"/>
    <mergeCell ref="F103:Q103"/>
    <mergeCell ref="F104:Q104"/>
    <mergeCell ref="F105:Q105"/>
    <mergeCell ref="F131:Q131"/>
    <mergeCell ref="F132:Q132"/>
    <mergeCell ref="F133:Q133"/>
    <mergeCell ref="F134:Q134"/>
    <mergeCell ref="B3:C3"/>
    <mergeCell ref="F126:Q126"/>
    <mergeCell ref="F127:Q127"/>
    <mergeCell ref="F128:Q128"/>
    <mergeCell ref="F129:Q129"/>
    <mergeCell ref="F130:Q130"/>
    <mergeCell ref="F121:Q121"/>
    <mergeCell ref="F122:Q122"/>
    <mergeCell ref="F123:Q123"/>
    <mergeCell ref="F124:Q124"/>
    <mergeCell ref="F125:Q125"/>
    <mergeCell ref="F116:Q116"/>
    <mergeCell ref="F117:Q117"/>
    <mergeCell ref="F118:Q118"/>
    <mergeCell ref="F119:Q119"/>
    <mergeCell ref="F120:Q120"/>
    <mergeCell ref="F111:Q111"/>
    <mergeCell ref="F112:Q112"/>
    <mergeCell ref="F113:Q113"/>
    <mergeCell ref="F114:Q114"/>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63</vt:i4>
      </vt:variant>
    </vt:vector>
  </HeadingPairs>
  <TitlesOfParts>
    <vt:vector size="72" baseType="lpstr">
      <vt:lpstr>Instructions</vt:lpstr>
      <vt:lpstr>Character</vt:lpstr>
      <vt:lpstr>Skill Summary</vt:lpstr>
      <vt:lpstr>Spell Casting Summary</vt:lpstr>
      <vt:lpstr>Skills</vt:lpstr>
      <vt:lpstr>Professions</vt:lpstr>
      <vt:lpstr>Races</vt:lpstr>
      <vt:lpstr>Tables</vt:lpstr>
      <vt:lpstr>Talents</vt:lpstr>
      <vt:lpstr>Ag</vt:lpstr>
      <vt:lpstr>Armor</vt:lpstr>
      <vt:lpstr>AT</vt:lpstr>
      <vt:lpstr>BD</vt:lpstr>
      <vt:lpstr>CharName</vt:lpstr>
      <vt:lpstr>Co</vt:lpstr>
      <vt:lpstr>Combat_Training</vt:lpstr>
      <vt:lpstr>CombatTraining</vt:lpstr>
      <vt:lpstr>Culture</vt:lpstr>
      <vt:lpstr>CultureList</vt:lpstr>
      <vt:lpstr>CultureRanks</vt:lpstr>
      <vt:lpstr>DP_Race</vt:lpstr>
      <vt:lpstr>DPBonus</vt:lpstr>
      <vt:lpstr>DPCosts</vt:lpstr>
      <vt:lpstr>Em</vt:lpstr>
      <vt:lpstr>Grace</vt:lpstr>
      <vt:lpstr>Helm</vt:lpstr>
      <vt:lpstr>In</vt:lpstr>
      <vt:lpstr>Level</vt:lpstr>
      <vt:lpstr>Me</vt:lpstr>
      <vt:lpstr>Name</vt:lpstr>
      <vt:lpstr>OB</vt:lpstr>
      <vt:lpstr>PBSkills</vt:lpstr>
      <vt:lpstr>PPD</vt:lpstr>
      <vt:lpstr>Pr</vt:lpstr>
      <vt:lpstr>Character!Print_Area</vt:lpstr>
      <vt:lpstr>Instructions!Print_Area</vt:lpstr>
      <vt:lpstr>Races!Print_Area</vt:lpstr>
      <vt:lpstr>'Skill Summary'!Print_Area</vt:lpstr>
      <vt:lpstr>Skills!Print_Area</vt:lpstr>
      <vt:lpstr>'Spell Casting Summary'!Print_Area</vt:lpstr>
      <vt:lpstr>Skills!Print_Titles</vt:lpstr>
      <vt:lpstr>Prof_Bonus</vt:lpstr>
      <vt:lpstr>Profession</vt:lpstr>
      <vt:lpstr>Professions</vt:lpstr>
      <vt:lpstr>Professions2</vt:lpstr>
      <vt:lpstr>Qu</vt:lpstr>
      <vt:lpstr>Race</vt:lpstr>
      <vt:lpstr>RaceList</vt:lpstr>
      <vt:lpstr>Races</vt:lpstr>
      <vt:lpstr>RacialTalents</vt:lpstr>
      <vt:lpstr>RankBonus</vt:lpstr>
      <vt:lpstr>Re</vt:lpstr>
      <vt:lpstr>Realm</vt:lpstr>
      <vt:lpstr>Realmchoice</vt:lpstr>
      <vt:lpstr>RS</vt:lpstr>
      <vt:lpstr>SD</vt:lpstr>
      <vt:lpstr>Shields</vt:lpstr>
      <vt:lpstr>Spellcasting</vt:lpstr>
      <vt:lpstr>SpellListSummary</vt:lpstr>
      <vt:lpstr>SpellTrickery</vt:lpstr>
      <vt:lpstr>St</vt:lpstr>
      <vt:lpstr>StatBonuses</vt:lpstr>
      <vt:lpstr>Stats</vt:lpstr>
      <vt:lpstr>TalentList</vt:lpstr>
      <vt:lpstr>Talents</vt:lpstr>
      <vt:lpstr>Total_IN</vt:lpstr>
      <vt:lpstr>Total_ON</vt:lpstr>
      <vt:lpstr>Total_Weight</vt:lpstr>
      <vt:lpstr>Transcendence</vt:lpstr>
      <vt:lpstr>Weapon</vt:lpstr>
      <vt:lpstr>Weapon_Table</vt:lpstr>
      <vt:lpstr>Weight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2013-04-07T19:06:33Z</dcterms:modified>
</cp:coreProperties>
</file>